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2210" tabRatio="708"/>
  </bookViews>
  <sheets>
    <sheet name="Оголошення закупівлі" sheetId="1" r:id="rId1"/>
    <sheet name="Скорочення споживання ПЕР" sheetId="4" r:id="rId2"/>
    <sheet name="Тендерна пропозиція" sheetId="2" r:id="rId3"/>
    <sheet name="Скорочення витрат замовника" sheetId="5" r:id="rId4"/>
    <sheet name="Лист1" sheetId="12" state="hidden" r:id="rId5"/>
    <sheet name="Аукціон" sheetId="11" r:id="rId6"/>
    <sheet name="Sheet3" sheetId="10" state="hidden" r:id="rId7"/>
    <sheet name="Аукціон розширений" sheetId="6" state="hidden" r:id="rId8"/>
  </sheets>
  <definedNames>
    <definedName name="contractDurationDays">'Оголошення закупівлі'!$B$20</definedName>
    <definedName name="contractDurationYears">'Оголошення закупівлі'!$B$19</definedName>
    <definedName name="fundingKind">'Оголошення закупівлі'!#REF!</definedName>
    <definedName name="maximalYearlyPaymentsPercentage">'Оголошення закупівлі'!$B$10</definedName>
    <definedName name="NBUdiscountRate">'Оголошення закупівлі'!$B$9</definedName>
    <definedName name="startDate">'Оголошення закупівлі'!$B$7</definedName>
    <definedName name="yearlyPaymentsPercentage">'Оголошення закупівлі'!$B$22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1" i="4" l="1"/>
  <c r="R18" i="4"/>
  <c r="D2" i="4"/>
  <c r="R2" i="4"/>
  <c r="D60" i="4"/>
  <c r="E2" i="4"/>
  <c r="E60" i="4"/>
  <c r="F2" i="4"/>
  <c r="F60" i="4"/>
  <c r="G2" i="4"/>
  <c r="G60" i="4"/>
  <c r="H2" i="4"/>
  <c r="H60" i="4"/>
  <c r="I2" i="4"/>
  <c r="I60" i="4"/>
  <c r="J2" i="4"/>
  <c r="J60" i="4"/>
  <c r="B18" i="1"/>
  <c r="C18" i="1"/>
  <c r="C23" i="1"/>
  <c r="S1" i="4"/>
  <c r="E9" i="4"/>
  <c r="E35" i="4"/>
  <c r="F9" i="4"/>
  <c r="F35" i="4"/>
  <c r="G9" i="4"/>
  <c r="G35" i="4"/>
  <c r="H9" i="4"/>
  <c r="H35" i="4"/>
  <c r="I9" i="4"/>
  <c r="I35" i="4"/>
  <c r="J9" i="4"/>
  <c r="J35" i="4"/>
  <c r="V48" i="10"/>
  <c r="U48" i="10"/>
  <c r="U52" i="10"/>
  <c r="U53" i="10"/>
  <c r="T48" i="10"/>
  <c r="T52" i="10"/>
  <c r="T53" i="10"/>
  <c r="S48" i="10"/>
  <c r="S52" i="10"/>
  <c r="S53" i="10"/>
  <c r="R48" i="10"/>
  <c r="R52" i="10"/>
  <c r="R53" i="10"/>
  <c r="Q48" i="10"/>
  <c r="Q52" i="10"/>
  <c r="Q53" i="10"/>
  <c r="P48" i="10"/>
  <c r="P52" i="10"/>
  <c r="P53" i="10"/>
  <c r="O48" i="10"/>
  <c r="O52" i="10"/>
  <c r="O53" i="10"/>
  <c r="N48" i="10"/>
  <c r="N52" i="10"/>
  <c r="N53" i="10"/>
  <c r="M48" i="10"/>
  <c r="M52" i="10"/>
  <c r="M53" i="10"/>
  <c r="L48" i="10"/>
  <c r="L52" i="10"/>
  <c r="L53" i="10"/>
  <c r="K48" i="10"/>
  <c r="K52" i="10"/>
  <c r="K53" i="10"/>
  <c r="J48" i="10"/>
  <c r="J52" i="10"/>
  <c r="J53" i="10"/>
  <c r="I48" i="10"/>
  <c r="I52" i="10"/>
  <c r="I53" i="10"/>
  <c r="H48" i="10"/>
  <c r="H52" i="10"/>
  <c r="H53" i="10"/>
  <c r="G48" i="10"/>
  <c r="G52" i="10"/>
  <c r="G53" i="10"/>
  <c r="F48" i="10"/>
  <c r="F52" i="10"/>
  <c r="F53" i="10"/>
  <c r="E48" i="10"/>
  <c r="E52" i="10"/>
  <c r="E53" i="10"/>
  <c r="D48" i="10"/>
  <c r="D52" i="10"/>
  <c r="D53" i="10"/>
  <c r="C48" i="10"/>
  <c r="C52" i="10"/>
  <c r="C53" i="10"/>
  <c r="B46" i="10"/>
  <c r="C45" i="10"/>
  <c r="D45" i="10"/>
  <c r="D46" i="10"/>
  <c r="B43" i="10"/>
  <c r="B48" i="10"/>
  <c r="B52" i="10"/>
  <c r="V28" i="10"/>
  <c r="U28" i="10"/>
  <c r="U32" i="10"/>
  <c r="T28" i="10"/>
  <c r="T32" i="10"/>
  <c r="T33" i="10"/>
  <c r="S28" i="10"/>
  <c r="S32" i="10"/>
  <c r="S33" i="10"/>
  <c r="R28" i="10"/>
  <c r="R32" i="10"/>
  <c r="R33" i="10"/>
  <c r="Q28" i="10"/>
  <c r="Q32" i="10"/>
  <c r="P28" i="10"/>
  <c r="P32" i="10"/>
  <c r="P33" i="10"/>
  <c r="O28" i="10"/>
  <c r="O32" i="10"/>
  <c r="O33" i="10"/>
  <c r="N28" i="10"/>
  <c r="N32" i="10"/>
  <c r="N33" i="10"/>
  <c r="M28" i="10"/>
  <c r="M32" i="10"/>
  <c r="L28" i="10"/>
  <c r="L32" i="10"/>
  <c r="L33" i="10"/>
  <c r="K28" i="10"/>
  <c r="K32" i="10"/>
  <c r="K33" i="10"/>
  <c r="J28" i="10"/>
  <c r="J32" i="10"/>
  <c r="J33" i="10"/>
  <c r="I28" i="10"/>
  <c r="I32" i="10"/>
  <c r="H28" i="10"/>
  <c r="H32" i="10"/>
  <c r="H33" i="10"/>
  <c r="G28" i="10"/>
  <c r="G32" i="10"/>
  <c r="G33" i="10"/>
  <c r="F28" i="10"/>
  <c r="F32" i="10"/>
  <c r="F33" i="10"/>
  <c r="E28" i="10"/>
  <c r="E32" i="10"/>
  <c r="D28" i="10"/>
  <c r="D32" i="10"/>
  <c r="D33" i="10"/>
  <c r="C28" i="10"/>
  <c r="C32" i="10"/>
  <c r="C33" i="10"/>
  <c r="B23" i="10"/>
  <c r="B28" i="10"/>
  <c r="B32" i="10"/>
  <c r="B26" i="10"/>
  <c r="C25" i="10"/>
  <c r="C26" i="10"/>
  <c r="C46" i="10"/>
  <c r="V52" i="10"/>
  <c r="V53" i="10"/>
  <c r="B53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T55" i="10"/>
  <c r="U55" i="10"/>
  <c r="V55" i="10"/>
  <c r="E45" i="10"/>
  <c r="M33" i="10"/>
  <c r="E33" i="10"/>
  <c r="I33" i="10"/>
  <c r="Q33" i="10"/>
  <c r="U33" i="10"/>
  <c r="V32" i="10"/>
  <c r="V33" i="10"/>
  <c r="B33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D25" i="10"/>
  <c r="D6" i="11"/>
  <c r="E46" i="10"/>
  <c r="F45" i="10"/>
  <c r="D26" i="10"/>
  <c r="E25" i="10"/>
  <c r="C6" i="11"/>
  <c r="F46" i="10"/>
  <c r="G45" i="10"/>
  <c r="E26" i="10"/>
  <c r="F25" i="10"/>
  <c r="C17" i="12"/>
  <c r="D17" i="12"/>
  <c r="B17" i="12"/>
  <c r="B21" i="1"/>
  <c r="A17" i="12"/>
  <c r="C24" i="12"/>
  <c r="B25" i="12"/>
  <c r="R8" i="12"/>
  <c r="S8" i="12"/>
  <c r="T8" i="12"/>
  <c r="U8" i="12"/>
  <c r="V8" i="12"/>
  <c r="B14" i="12"/>
  <c r="C3" i="12"/>
  <c r="B4" i="12"/>
  <c r="B5" i="10"/>
  <c r="B2" i="10"/>
  <c r="B7" i="10"/>
  <c r="B11" i="10"/>
  <c r="V11" i="10"/>
  <c r="V12" i="10"/>
  <c r="C4" i="10"/>
  <c r="C7" i="10"/>
  <c r="C11" i="10"/>
  <c r="C12" i="10"/>
  <c r="D7" i="10"/>
  <c r="D11" i="10"/>
  <c r="D12" i="10"/>
  <c r="E7" i="10"/>
  <c r="E11" i="10"/>
  <c r="E12" i="10"/>
  <c r="F7" i="10"/>
  <c r="F11" i="10"/>
  <c r="F12" i="10"/>
  <c r="G7" i="10"/>
  <c r="G11" i="10"/>
  <c r="G12" i="10"/>
  <c r="H7" i="10"/>
  <c r="H11" i="10"/>
  <c r="H12" i="10"/>
  <c r="I7" i="10"/>
  <c r="I11" i="10"/>
  <c r="I12" i="10"/>
  <c r="J7" i="10"/>
  <c r="J11" i="10"/>
  <c r="J12" i="10"/>
  <c r="K7" i="10"/>
  <c r="K11" i="10"/>
  <c r="K12" i="10"/>
  <c r="L7" i="10"/>
  <c r="L11" i="10"/>
  <c r="L12" i="10"/>
  <c r="M7" i="10"/>
  <c r="M11" i="10"/>
  <c r="M12" i="10"/>
  <c r="N7" i="10"/>
  <c r="N11" i="10"/>
  <c r="N12" i="10"/>
  <c r="O7" i="10"/>
  <c r="O11" i="10"/>
  <c r="O12" i="10"/>
  <c r="P7" i="10"/>
  <c r="P11" i="10"/>
  <c r="P12" i="10"/>
  <c r="Q7" i="10"/>
  <c r="Q11" i="10"/>
  <c r="Q12" i="10"/>
  <c r="R7" i="10"/>
  <c r="R11" i="10"/>
  <c r="R12" i="10"/>
  <c r="S7" i="10"/>
  <c r="S11" i="10"/>
  <c r="S12" i="10"/>
  <c r="T7" i="10"/>
  <c r="T11" i="10"/>
  <c r="T12" i="10"/>
  <c r="U7" i="10"/>
  <c r="U11" i="10"/>
  <c r="U12" i="10"/>
  <c r="V7" i="10"/>
  <c r="B14" i="6"/>
  <c r="R8" i="6"/>
  <c r="S8" i="6"/>
  <c r="T8" i="6"/>
  <c r="U8" i="6"/>
  <c r="V8" i="6"/>
  <c r="C24" i="6"/>
  <c r="C25" i="6"/>
  <c r="B25" i="6"/>
  <c r="A17" i="6"/>
  <c r="C3" i="6"/>
  <c r="B4" i="6"/>
  <c r="B2" i="2"/>
  <c r="B7" i="2"/>
  <c r="B11" i="2"/>
  <c r="V11" i="2"/>
  <c r="V12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R24" i="4"/>
  <c r="R21" i="4"/>
  <c r="I4" i="5"/>
  <c r="E4" i="5"/>
  <c r="C4" i="5"/>
  <c r="R9" i="4"/>
  <c r="R7" i="4"/>
  <c r="R1" i="4"/>
  <c r="C2" i="4"/>
  <c r="K2" i="4"/>
  <c r="L2" i="4"/>
  <c r="M2" i="4"/>
  <c r="B2" i="4"/>
  <c r="N2" i="4"/>
  <c r="V7" i="2"/>
  <c r="U7" i="2"/>
  <c r="U11" i="2"/>
  <c r="U12" i="2"/>
  <c r="T7" i="2"/>
  <c r="T11" i="2"/>
  <c r="T12" i="2"/>
  <c r="S7" i="2"/>
  <c r="S11" i="2"/>
  <c r="S12" i="2"/>
  <c r="R7" i="2"/>
  <c r="R11" i="2"/>
  <c r="R12" i="2"/>
  <c r="Q7" i="2"/>
  <c r="Q11" i="2"/>
  <c r="Q12" i="2"/>
  <c r="P7" i="2"/>
  <c r="P11" i="2"/>
  <c r="P12" i="2"/>
  <c r="O7" i="2"/>
  <c r="O11" i="2"/>
  <c r="O12" i="2"/>
  <c r="N7" i="2"/>
  <c r="N11" i="2"/>
  <c r="N12" i="2"/>
  <c r="M7" i="2"/>
  <c r="M11" i="2"/>
  <c r="M12" i="2"/>
  <c r="L7" i="2"/>
  <c r="L11" i="2"/>
  <c r="L12" i="2"/>
  <c r="K7" i="2"/>
  <c r="K11" i="2"/>
  <c r="K12" i="2"/>
  <c r="J7" i="2"/>
  <c r="J11" i="2"/>
  <c r="J12" i="2"/>
  <c r="I7" i="2"/>
  <c r="H7" i="2"/>
  <c r="H11" i="2"/>
  <c r="H12" i="2"/>
  <c r="G7" i="2"/>
  <c r="G11" i="2"/>
  <c r="G12" i="2"/>
  <c r="F7" i="2"/>
  <c r="F11" i="2"/>
  <c r="F12" i="2"/>
  <c r="E7" i="2"/>
  <c r="E11" i="2"/>
  <c r="E12" i="2"/>
  <c r="D7" i="2"/>
  <c r="D11" i="2"/>
  <c r="D12" i="2"/>
  <c r="C7" i="2"/>
  <c r="C11" i="2"/>
  <c r="C12" i="2"/>
  <c r="B5" i="2"/>
  <c r="C5" i="2"/>
  <c r="I11" i="2"/>
  <c r="I12" i="2"/>
  <c r="E5" i="2"/>
  <c r="D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C59" i="4"/>
  <c r="K60" i="4"/>
  <c r="G70" i="4"/>
  <c r="M70" i="4"/>
  <c r="I72" i="4"/>
  <c r="E78" i="4"/>
  <c r="K62" i="4"/>
  <c r="I59" i="4"/>
  <c r="D69" i="4"/>
  <c r="C66" i="4"/>
  <c r="L68" i="4"/>
  <c r="M77" i="4"/>
  <c r="H77" i="4"/>
  <c r="L72" i="4"/>
  <c r="F70" i="4"/>
  <c r="L63" i="4"/>
  <c r="H65" i="4"/>
  <c r="D76" i="4"/>
  <c r="G73" i="4"/>
  <c r="H64" i="4"/>
  <c r="L74" i="4"/>
  <c r="D77" i="4"/>
  <c r="D73" i="4"/>
  <c r="C70" i="4"/>
  <c r="K65" i="4"/>
  <c r="H69" i="4"/>
  <c r="E65" i="4"/>
  <c r="F59" i="4"/>
  <c r="E64" i="4"/>
  <c r="D61" i="4"/>
  <c r="D64" i="4"/>
  <c r="H68" i="4"/>
  <c r="H76" i="4"/>
  <c r="L67" i="4"/>
  <c r="E68" i="4"/>
  <c r="I76" i="4"/>
  <c r="D74" i="4"/>
  <c r="H73" i="4"/>
  <c r="K79" i="4"/>
  <c r="B76" i="4"/>
  <c r="J63" i="4"/>
  <c r="C62" i="4"/>
  <c r="G62" i="4"/>
  <c r="K77" i="4"/>
  <c r="D79" i="4"/>
  <c r="D68" i="4"/>
  <c r="D71" i="4"/>
  <c r="H67" i="4"/>
  <c r="H71" i="4"/>
  <c r="H79" i="4"/>
  <c r="H63" i="4"/>
  <c r="L64" i="4"/>
  <c r="L62" i="4"/>
  <c r="E71" i="4"/>
  <c r="I73" i="4"/>
  <c r="I70" i="4"/>
  <c r="M63" i="4"/>
  <c r="F67" i="4"/>
  <c r="J59" i="4"/>
  <c r="F65" i="4"/>
  <c r="F74" i="4"/>
  <c r="B12" i="2"/>
  <c r="B14" i="2"/>
  <c r="C69" i="4"/>
  <c r="G74" i="4"/>
  <c r="D66" i="4"/>
  <c r="D63" i="4"/>
  <c r="D75" i="4"/>
  <c r="D65" i="4"/>
  <c r="H66" i="4"/>
  <c r="H78" i="4"/>
  <c r="H74" i="4"/>
  <c r="H70" i="4"/>
  <c r="L71" i="4"/>
  <c r="L76" i="4"/>
  <c r="L61" i="4"/>
  <c r="E75" i="4"/>
  <c r="I77" i="4"/>
  <c r="M62" i="4"/>
  <c r="M71" i="4"/>
  <c r="J78" i="4"/>
  <c r="D67" i="4"/>
  <c r="R13" i="4"/>
  <c r="J67" i="4"/>
  <c r="D24" i="6"/>
  <c r="G46" i="10"/>
  <c r="H45" i="10"/>
  <c r="F26" i="10"/>
  <c r="G25" i="10"/>
  <c r="D15" i="4"/>
  <c r="D41" i="4"/>
  <c r="J18" i="4"/>
  <c r="J44" i="4"/>
  <c r="L13" i="4"/>
  <c r="L39" i="4"/>
  <c r="S3" i="4"/>
  <c r="J11" i="4"/>
  <c r="J37" i="4"/>
  <c r="L10" i="4"/>
  <c r="L36" i="4"/>
  <c r="S4" i="4"/>
  <c r="F11" i="4"/>
  <c r="F37" i="4"/>
  <c r="B17" i="4"/>
  <c r="B43" i="4"/>
  <c r="H17" i="4"/>
  <c r="H43" i="4"/>
  <c r="F26" i="4"/>
  <c r="F52" i="4"/>
  <c r="E10" i="4"/>
  <c r="E36" i="4"/>
  <c r="B15" i="4"/>
  <c r="B41" i="4"/>
  <c r="K11" i="4"/>
  <c r="K37" i="4"/>
  <c r="J10" i="4"/>
  <c r="J36" i="4"/>
  <c r="C16" i="4"/>
  <c r="C42" i="4"/>
  <c r="M18" i="4"/>
  <c r="M44" i="4"/>
  <c r="D10" i="4"/>
  <c r="D36" i="4"/>
  <c r="B14" i="4"/>
  <c r="B40" i="4"/>
  <c r="M12" i="4"/>
  <c r="M38" i="4"/>
  <c r="D14" i="4"/>
  <c r="D40" i="4"/>
  <c r="L16" i="4"/>
  <c r="L42" i="4"/>
  <c r="D13" i="4"/>
  <c r="D39" i="4"/>
  <c r="E13" i="4"/>
  <c r="E39" i="4"/>
  <c r="F13" i="4"/>
  <c r="F39" i="4"/>
  <c r="M10" i="4"/>
  <c r="M36" i="4"/>
  <c r="D17" i="4"/>
  <c r="D43" i="4"/>
  <c r="M9" i="4"/>
  <c r="M35" i="4"/>
  <c r="J16" i="4"/>
  <c r="J42" i="4"/>
  <c r="I15" i="4"/>
  <c r="I41" i="4"/>
  <c r="D18" i="4"/>
  <c r="D44" i="4"/>
  <c r="I12" i="4"/>
  <c r="I38" i="4"/>
  <c r="J17" i="4"/>
  <c r="J43" i="4"/>
  <c r="G16" i="4"/>
  <c r="G42" i="4"/>
  <c r="M15" i="4"/>
  <c r="M41" i="4"/>
  <c r="B16" i="4"/>
  <c r="B42" i="4"/>
  <c r="I13" i="4"/>
  <c r="I39" i="4"/>
  <c r="H16" i="4"/>
  <c r="H42" i="4"/>
  <c r="I16" i="4"/>
  <c r="I42" i="4"/>
  <c r="K12" i="4"/>
  <c r="K38" i="4"/>
  <c r="E18" i="4"/>
  <c r="E44" i="4"/>
  <c r="H10" i="4"/>
  <c r="H36" i="4"/>
  <c r="M17" i="4"/>
  <c r="M43" i="4"/>
  <c r="J13" i="4"/>
  <c r="J39" i="4"/>
  <c r="H11" i="4"/>
  <c r="H37" i="4"/>
  <c r="L17" i="4"/>
  <c r="L43" i="4"/>
  <c r="B20" i="4"/>
  <c r="B46" i="4"/>
  <c r="B8" i="4"/>
  <c r="B34" i="4"/>
  <c r="L27" i="4"/>
  <c r="L53" i="4"/>
  <c r="M21" i="4"/>
  <c r="M47" i="4"/>
  <c r="B13" i="4"/>
  <c r="B39" i="4"/>
  <c r="F18" i="4"/>
  <c r="F44" i="4"/>
  <c r="I10" i="4"/>
  <c r="I36" i="4"/>
  <c r="I18" i="4"/>
  <c r="I44" i="4"/>
  <c r="B12" i="4"/>
  <c r="B38" i="4"/>
  <c r="F17" i="4"/>
  <c r="F43" i="4"/>
  <c r="M14" i="4"/>
  <c r="M40" i="4"/>
  <c r="L11" i="4"/>
  <c r="L37" i="4"/>
  <c r="D12" i="4"/>
  <c r="D38" i="4"/>
  <c r="H15" i="4"/>
  <c r="H41" i="4"/>
  <c r="B10" i="4"/>
  <c r="B36" i="4"/>
  <c r="C18" i="4"/>
  <c r="C44" i="4"/>
  <c r="E14" i="4"/>
  <c r="E40" i="4"/>
  <c r="H14" i="4"/>
  <c r="H40" i="4"/>
  <c r="L12" i="4"/>
  <c r="L38" i="4"/>
  <c r="L15" i="4"/>
  <c r="L41" i="4"/>
  <c r="E11" i="4"/>
  <c r="E37" i="4"/>
  <c r="B11" i="4"/>
  <c r="B37" i="4"/>
  <c r="F12" i="4"/>
  <c r="F38" i="4"/>
  <c r="D11" i="4"/>
  <c r="D37" i="4"/>
  <c r="K13" i="4"/>
  <c r="K39" i="4"/>
  <c r="H28" i="4"/>
  <c r="H54" i="4"/>
  <c r="E28" i="4"/>
  <c r="E54" i="4"/>
  <c r="K24" i="4"/>
  <c r="K50" i="4"/>
  <c r="D23" i="4"/>
  <c r="D49" i="4"/>
  <c r="E27" i="4"/>
  <c r="E53" i="4"/>
  <c r="J26" i="4"/>
  <c r="J52" i="4"/>
  <c r="B19" i="4"/>
  <c r="B45" i="4"/>
  <c r="L20" i="4"/>
  <c r="L46" i="4"/>
  <c r="F10" i="4"/>
  <c r="F36" i="4"/>
  <c r="J15" i="4"/>
  <c r="J41" i="4"/>
  <c r="C17" i="4"/>
  <c r="C43" i="4"/>
  <c r="I14" i="4"/>
  <c r="I40" i="4"/>
  <c r="J14" i="4"/>
  <c r="J40" i="4"/>
  <c r="K10" i="4"/>
  <c r="K36" i="4"/>
  <c r="E12" i="4"/>
  <c r="E38" i="4"/>
  <c r="I17" i="4"/>
  <c r="I43" i="4"/>
  <c r="H12" i="4"/>
  <c r="H38" i="4"/>
  <c r="M13" i="4"/>
  <c r="M39" i="4"/>
  <c r="J12" i="4"/>
  <c r="J38" i="4"/>
  <c r="B18" i="4"/>
  <c r="B44" i="4"/>
  <c r="I11" i="4"/>
  <c r="I37" i="4"/>
  <c r="M16" i="4"/>
  <c r="M42" i="4"/>
  <c r="D16" i="4"/>
  <c r="D42" i="4"/>
  <c r="H13" i="4"/>
  <c r="H39" i="4"/>
  <c r="L18" i="4"/>
  <c r="L44" i="4"/>
  <c r="C11" i="4"/>
  <c r="C37" i="4"/>
  <c r="H18" i="4"/>
  <c r="H44" i="4"/>
  <c r="L21" i="4"/>
  <c r="L47" i="4"/>
  <c r="M22" i="4"/>
  <c r="M48" i="4"/>
  <c r="G24" i="4"/>
  <c r="G50" i="4"/>
  <c r="B24" i="1"/>
  <c r="G10" i="4"/>
  <c r="G36" i="4"/>
  <c r="K15" i="4"/>
  <c r="K41" i="4"/>
  <c r="K14" i="4"/>
  <c r="K40" i="4"/>
  <c r="G11" i="4"/>
  <c r="G37" i="4"/>
  <c r="K16" i="4"/>
  <c r="K42" i="4"/>
  <c r="C79" i="4"/>
  <c r="C63" i="4"/>
  <c r="C71" i="4"/>
  <c r="C74" i="4"/>
  <c r="G75" i="4"/>
  <c r="G71" i="4"/>
  <c r="G78" i="4"/>
  <c r="G63" i="4"/>
  <c r="K75" i="4"/>
  <c r="K78" i="4"/>
  <c r="K74" i="4"/>
  <c r="K63" i="4"/>
  <c r="F79" i="4"/>
  <c r="F69" i="4"/>
  <c r="J76" i="4"/>
  <c r="B68" i="4"/>
  <c r="L19" i="4"/>
  <c r="L45" i="4"/>
  <c r="L28" i="4"/>
  <c r="L54" i="4"/>
  <c r="D20" i="4"/>
  <c r="D46" i="4"/>
  <c r="J8" i="4"/>
  <c r="J34" i="4"/>
  <c r="E25" i="4"/>
  <c r="E51" i="4"/>
  <c r="K28" i="4"/>
  <c r="K54" i="4"/>
  <c r="B22" i="4"/>
  <c r="B48" i="4"/>
  <c r="C19" i="4"/>
  <c r="C45" i="4"/>
  <c r="C13" i="4"/>
  <c r="C39" i="4"/>
  <c r="G18" i="4"/>
  <c r="G44" i="4"/>
  <c r="C12" i="4"/>
  <c r="C38" i="4"/>
  <c r="G17" i="4"/>
  <c r="G43" i="4"/>
  <c r="C14" i="4"/>
  <c r="C40" i="4"/>
  <c r="K17" i="4"/>
  <c r="K43" i="4"/>
  <c r="G12" i="4"/>
  <c r="G38" i="4"/>
  <c r="C65" i="4"/>
  <c r="C61" i="4"/>
  <c r="C73" i="4"/>
  <c r="C76" i="4"/>
  <c r="G61" i="4"/>
  <c r="G72" i="4"/>
  <c r="G69" i="4"/>
  <c r="K61" i="4"/>
  <c r="K76" i="4"/>
  <c r="K69" i="4"/>
  <c r="K68" i="4"/>
  <c r="G14" i="4"/>
  <c r="G40" i="4"/>
  <c r="G13" i="4"/>
  <c r="G39" i="4"/>
  <c r="K18" i="4"/>
  <c r="K44" i="4"/>
  <c r="C10" i="4"/>
  <c r="C36" i="4"/>
  <c r="G15" i="4"/>
  <c r="G41" i="4"/>
  <c r="C67" i="4"/>
  <c r="C68" i="4"/>
  <c r="C64" i="4"/>
  <c r="G64" i="4"/>
  <c r="G68" i="4"/>
  <c r="G79" i="4"/>
  <c r="K64" i="4"/>
  <c r="K67" i="4"/>
  <c r="I79" i="4"/>
  <c r="M73" i="4"/>
  <c r="F61" i="4"/>
  <c r="J69" i="4"/>
  <c r="E19" i="4"/>
  <c r="E45" i="4"/>
  <c r="M67" i="4"/>
  <c r="I66" i="4"/>
  <c r="M8" i="4"/>
  <c r="M34" i="4"/>
  <c r="L22" i="4"/>
  <c r="L48" i="4"/>
  <c r="D21" i="4"/>
  <c r="D47" i="4"/>
  <c r="I25" i="4"/>
  <c r="I51" i="4"/>
  <c r="D8" i="4"/>
  <c r="D34" i="4"/>
  <c r="G22" i="4"/>
  <c r="G48" i="4"/>
  <c r="J22" i="4"/>
  <c r="J48" i="4"/>
  <c r="F73" i="4"/>
  <c r="F66" i="4"/>
  <c r="F78" i="4"/>
  <c r="J73" i="4"/>
  <c r="J65" i="4"/>
  <c r="J61" i="4"/>
  <c r="B79" i="4"/>
  <c r="B64" i="4"/>
  <c r="D19" i="4"/>
  <c r="D45" i="4"/>
  <c r="R3" i="4"/>
  <c r="H23" i="4"/>
  <c r="H49" i="4"/>
  <c r="H25" i="4"/>
  <c r="H51" i="4"/>
  <c r="H24" i="4"/>
  <c r="H50" i="4"/>
  <c r="L23" i="4"/>
  <c r="L49" i="4"/>
  <c r="I28" i="4"/>
  <c r="I54" i="4"/>
  <c r="M25" i="4"/>
  <c r="M51" i="4"/>
  <c r="I23" i="4"/>
  <c r="I49" i="4"/>
  <c r="M20" i="4"/>
  <c r="M46" i="4"/>
  <c r="C26" i="4"/>
  <c r="C52" i="4"/>
  <c r="K22" i="4"/>
  <c r="K48" i="4"/>
  <c r="F28" i="4"/>
  <c r="F54" i="4"/>
  <c r="J23" i="4"/>
  <c r="J49" i="4"/>
  <c r="J72" i="4"/>
  <c r="B65" i="4"/>
  <c r="B73" i="4"/>
  <c r="F77" i="4"/>
  <c r="F71" i="4"/>
  <c r="J74" i="4"/>
  <c r="J64" i="4"/>
  <c r="J66" i="4"/>
  <c r="B72" i="4"/>
  <c r="B70" i="4"/>
  <c r="B69" i="4"/>
  <c r="E61" i="4"/>
  <c r="L24" i="4"/>
  <c r="L50" i="4"/>
  <c r="E8" i="4"/>
  <c r="E34" i="4"/>
  <c r="D27" i="4"/>
  <c r="D53" i="4"/>
  <c r="H26" i="4"/>
  <c r="H52" i="4"/>
  <c r="M28" i="4"/>
  <c r="M54" i="4"/>
  <c r="M26" i="4"/>
  <c r="M52" i="4"/>
  <c r="E24" i="4"/>
  <c r="E50" i="4"/>
  <c r="I21" i="4"/>
  <c r="I47" i="4"/>
  <c r="G27" i="4"/>
  <c r="G53" i="4"/>
  <c r="G23" i="4"/>
  <c r="G49" i="4"/>
  <c r="K8" i="4"/>
  <c r="K34" i="4"/>
  <c r="F25" i="4"/>
  <c r="F51" i="4"/>
  <c r="C14" i="2"/>
  <c r="C7" i="6"/>
  <c r="L73" i="4"/>
  <c r="L69" i="4"/>
  <c r="L75" i="4"/>
  <c r="F68" i="4"/>
  <c r="F64" i="4"/>
  <c r="F72" i="4"/>
  <c r="J68" i="4"/>
  <c r="J62" i="4"/>
  <c r="J70" i="4"/>
  <c r="J79" i="4"/>
  <c r="B74" i="4"/>
  <c r="B61" i="4"/>
  <c r="B67" i="4"/>
  <c r="I22" i="4"/>
  <c r="I48" i="4"/>
  <c r="I20" i="4"/>
  <c r="I46" i="4"/>
  <c r="C27" i="4"/>
  <c r="C53" i="4"/>
  <c r="K23" i="4"/>
  <c r="K49" i="4"/>
  <c r="C21" i="4"/>
  <c r="C47" i="4"/>
  <c r="B28" i="4"/>
  <c r="B54" i="4"/>
  <c r="B24" i="4"/>
  <c r="B50" i="4"/>
  <c r="F20" i="4"/>
  <c r="F46" i="4"/>
  <c r="R14" i="4"/>
  <c r="R15" i="4"/>
  <c r="L65" i="4"/>
  <c r="L70" i="4"/>
  <c r="E72" i="4"/>
  <c r="E66" i="4"/>
  <c r="E73" i="4"/>
  <c r="I65" i="4"/>
  <c r="I71" i="4"/>
  <c r="I74" i="4"/>
  <c r="M68" i="4"/>
  <c r="M79" i="4"/>
  <c r="H19" i="4"/>
  <c r="H45" i="4"/>
  <c r="B23" i="4"/>
  <c r="B49" i="4"/>
  <c r="J21" i="4"/>
  <c r="J47" i="4"/>
  <c r="D72" i="4"/>
  <c r="D70" i="4"/>
  <c r="D78" i="4"/>
  <c r="D62" i="4"/>
  <c r="H61" i="4"/>
  <c r="H62" i="4"/>
  <c r="H75" i="4"/>
  <c r="H72" i="4"/>
  <c r="L66" i="4"/>
  <c r="L78" i="4"/>
  <c r="L79" i="4"/>
  <c r="L60" i="4"/>
  <c r="L77" i="4"/>
  <c r="E67" i="4"/>
  <c r="E70" i="4"/>
  <c r="E77" i="4"/>
  <c r="I64" i="4"/>
  <c r="I75" i="4"/>
  <c r="M74" i="4"/>
  <c r="M69" i="4"/>
  <c r="M72" i="4"/>
  <c r="M11" i="4"/>
  <c r="M37" i="4"/>
  <c r="H27" i="4"/>
  <c r="H53" i="4"/>
  <c r="I8" i="4"/>
  <c r="I34" i="4"/>
  <c r="L26" i="4"/>
  <c r="L52" i="4"/>
  <c r="H21" i="4"/>
  <c r="H47" i="4"/>
  <c r="D25" i="4"/>
  <c r="D51" i="4"/>
  <c r="M27" i="4"/>
  <c r="M53" i="4"/>
  <c r="E26" i="4"/>
  <c r="E52" i="4"/>
  <c r="I24" i="4"/>
  <c r="I50" i="4"/>
  <c r="E23" i="4"/>
  <c r="E49" i="4"/>
  <c r="L8" i="4"/>
  <c r="L34" i="4"/>
  <c r="C28" i="4"/>
  <c r="C54" i="4"/>
  <c r="C25" i="4"/>
  <c r="C51" i="4"/>
  <c r="C22" i="4"/>
  <c r="C48" i="4"/>
  <c r="C8" i="4"/>
  <c r="C34" i="4"/>
  <c r="F27" i="4"/>
  <c r="F53" i="4"/>
  <c r="F24" i="4"/>
  <c r="F50" i="4"/>
  <c r="F21" i="4"/>
  <c r="F47" i="4"/>
  <c r="E59" i="4"/>
  <c r="O64" i="4"/>
  <c r="O63" i="4"/>
  <c r="D14" i="2"/>
  <c r="E14" i="2"/>
  <c r="E76" i="4"/>
  <c r="E62" i="4"/>
  <c r="I69" i="4"/>
  <c r="I63" i="4"/>
  <c r="M78" i="4"/>
  <c r="M61" i="4"/>
  <c r="M64" i="4"/>
  <c r="F63" i="4"/>
  <c r="F75" i="4"/>
  <c r="F76" i="4"/>
  <c r="F62" i="4"/>
  <c r="J75" i="4"/>
  <c r="J71" i="4"/>
  <c r="J77" i="4"/>
  <c r="B63" i="4"/>
  <c r="B75" i="4"/>
  <c r="B71" i="4"/>
  <c r="B62" i="4"/>
  <c r="E20" i="4"/>
  <c r="E46" i="4"/>
  <c r="K27" i="4"/>
  <c r="K53" i="4"/>
  <c r="G26" i="4"/>
  <c r="G52" i="4"/>
  <c r="G25" i="4"/>
  <c r="G51" i="4"/>
  <c r="K21" i="4"/>
  <c r="K47" i="4"/>
  <c r="K20" i="4"/>
  <c r="K46" i="4"/>
  <c r="G8" i="4"/>
  <c r="G34" i="4"/>
  <c r="B27" i="4"/>
  <c r="J25" i="4"/>
  <c r="J51" i="4"/>
  <c r="J24" i="4"/>
  <c r="J50" i="4"/>
  <c r="B21" i="4"/>
  <c r="R20" i="4"/>
  <c r="R22" i="4"/>
  <c r="B78" i="4"/>
  <c r="B66" i="4"/>
  <c r="B77" i="4"/>
  <c r="J20" i="4"/>
  <c r="J46" i="4"/>
  <c r="F22" i="4"/>
  <c r="F48" i="4"/>
  <c r="F23" i="4"/>
  <c r="F49" i="4"/>
  <c r="B25" i="4"/>
  <c r="B26" i="4"/>
  <c r="J27" i="4"/>
  <c r="J53" i="4"/>
  <c r="J28" i="4"/>
  <c r="J54" i="4"/>
  <c r="G20" i="4"/>
  <c r="G46" i="4"/>
  <c r="G21" i="4"/>
  <c r="G47" i="4"/>
  <c r="C23" i="4"/>
  <c r="C24" i="4"/>
  <c r="K25" i="4"/>
  <c r="K51" i="4"/>
  <c r="K26" i="4"/>
  <c r="K52" i="4"/>
  <c r="G28" i="4"/>
  <c r="G54" i="4"/>
  <c r="H8" i="4"/>
  <c r="H34" i="4"/>
  <c r="E21" i="4"/>
  <c r="E47" i="4"/>
  <c r="E22" i="4"/>
  <c r="E48" i="4"/>
  <c r="M23" i="4"/>
  <c r="M49" i="4"/>
  <c r="M24" i="4"/>
  <c r="M50" i="4"/>
  <c r="I26" i="4"/>
  <c r="I52" i="4"/>
  <c r="I27" i="4"/>
  <c r="I53" i="4"/>
  <c r="F8" i="4"/>
  <c r="H22" i="4"/>
  <c r="H48" i="4"/>
  <c r="H20" i="4"/>
  <c r="H46" i="4"/>
  <c r="L25" i="4"/>
  <c r="L51" i="4"/>
  <c r="D24" i="4"/>
  <c r="D50" i="4"/>
  <c r="D28" i="4"/>
  <c r="D22" i="4"/>
  <c r="D26" i="4"/>
  <c r="D52" i="4"/>
  <c r="R4" i="4"/>
  <c r="R5" i="4"/>
  <c r="K9" i="4"/>
  <c r="K35" i="4"/>
  <c r="J19" i="4"/>
  <c r="J45" i="4"/>
  <c r="H59" i="4"/>
  <c r="D59" i="4"/>
  <c r="O61" i="4"/>
  <c r="C20" i="4"/>
  <c r="D7" i="6"/>
  <c r="K70" i="4"/>
  <c r="K73" i="4"/>
  <c r="K72" i="4"/>
  <c r="K71" i="4"/>
  <c r="K66" i="4"/>
  <c r="K19" i="4"/>
  <c r="K45" i="4"/>
  <c r="G65" i="4"/>
  <c r="G76" i="4"/>
  <c r="G67" i="4"/>
  <c r="G66" i="4"/>
  <c r="G77" i="4"/>
  <c r="G19" i="4"/>
  <c r="C75" i="4"/>
  <c r="C78" i="4"/>
  <c r="C77" i="4"/>
  <c r="C72" i="4"/>
  <c r="C7" i="12"/>
  <c r="B7" i="12"/>
  <c r="B7" i="6"/>
  <c r="M75" i="4"/>
  <c r="M76" i="4"/>
  <c r="M60" i="4"/>
  <c r="M65" i="4"/>
  <c r="M66" i="4"/>
  <c r="M19" i="4"/>
  <c r="M45" i="4"/>
  <c r="I78" i="4"/>
  <c r="I62" i="4"/>
  <c r="I67" i="4"/>
  <c r="I68" i="4"/>
  <c r="I61" i="4"/>
  <c r="I19" i="4"/>
  <c r="I45" i="4"/>
  <c r="E69" i="4"/>
  <c r="E74" i="4"/>
  <c r="E79" i="4"/>
  <c r="E63" i="4"/>
  <c r="B59" i="4"/>
  <c r="G59" i="4"/>
  <c r="D3" i="6"/>
  <c r="C4" i="6"/>
  <c r="C5" i="10"/>
  <c r="D4" i="10"/>
  <c r="B16" i="10"/>
  <c r="B57" i="10"/>
  <c r="B12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O72" i="4"/>
  <c r="O74" i="4"/>
  <c r="C4" i="12"/>
  <c r="D3" i="12"/>
  <c r="O60" i="4"/>
  <c r="S6" i="4"/>
  <c r="O71" i="4"/>
  <c r="O67" i="4"/>
  <c r="O75" i="4"/>
  <c r="O77" i="4"/>
  <c r="O79" i="4"/>
  <c r="O59" i="4"/>
  <c r="O62" i="4"/>
  <c r="O69" i="4"/>
  <c r="O73" i="4"/>
  <c r="O76" i="4"/>
  <c r="O78" i="4"/>
  <c r="C25" i="12"/>
  <c r="D24" i="12"/>
  <c r="B16" i="2"/>
  <c r="O65" i="4"/>
  <c r="D7" i="12"/>
  <c r="O68" i="4"/>
  <c r="S5" i="4"/>
  <c r="N69" i="4"/>
  <c r="P69" i="4"/>
  <c r="N18" i="4"/>
  <c r="O18" i="4"/>
  <c r="N70" i="4"/>
  <c r="N12" i="4"/>
  <c r="O12" i="4"/>
  <c r="N37" i="4"/>
  <c r="C9" i="4"/>
  <c r="C35" i="4"/>
  <c r="E15" i="4"/>
  <c r="E41" i="4"/>
  <c r="N44" i="4"/>
  <c r="N39" i="4"/>
  <c r="C15" i="4"/>
  <c r="C41" i="4"/>
  <c r="N36" i="4"/>
  <c r="O66" i="4"/>
  <c r="N63" i="4"/>
  <c r="P63" i="4"/>
  <c r="F8" i="2"/>
  <c r="F6" i="6"/>
  <c r="N62" i="4"/>
  <c r="P62" i="4"/>
  <c r="N38" i="4"/>
  <c r="N10" i="4"/>
  <c r="O10" i="4"/>
  <c r="N79" i="4"/>
  <c r="P79" i="4"/>
  <c r="N61" i="4"/>
  <c r="P61" i="4"/>
  <c r="N72" i="4"/>
  <c r="P72" i="4"/>
  <c r="N71" i="4"/>
  <c r="P71" i="4"/>
  <c r="N74" i="4"/>
  <c r="P74" i="4"/>
  <c r="N68" i="4"/>
  <c r="N77" i="4"/>
  <c r="P77" i="4"/>
  <c r="N73" i="4"/>
  <c r="P73" i="4"/>
  <c r="N64" i="4"/>
  <c r="P64" i="4"/>
  <c r="N13" i="4"/>
  <c r="O13" i="4"/>
  <c r="E24" i="6"/>
  <c r="D25" i="6"/>
  <c r="H46" i="10"/>
  <c r="I45" i="10"/>
  <c r="C16" i="10"/>
  <c r="D16" i="10"/>
  <c r="B37" i="10"/>
  <c r="H25" i="10"/>
  <c r="G26" i="10"/>
  <c r="F19" i="4"/>
  <c r="F45" i="4"/>
  <c r="O70" i="4"/>
  <c r="L9" i="4"/>
  <c r="L35" i="4"/>
  <c r="B9" i="4"/>
  <c r="B35" i="4"/>
  <c r="N11" i="4"/>
  <c r="O11" i="4"/>
  <c r="B52" i="4"/>
  <c r="N52" i="4"/>
  <c r="N26" i="4"/>
  <c r="O26" i="4"/>
  <c r="B47" i="4"/>
  <c r="N47" i="4"/>
  <c r="N21" i="4"/>
  <c r="O21" i="4"/>
  <c r="D9" i="4"/>
  <c r="D35" i="4"/>
  <c r="D48" i="4"/>
  <c r="N48" i="4"/>
  <c r="N22" i="4"/>
  <c r="O22" i="4"/>
  <c r="B51" i="4"/>
  <c r="N51" i="4"/>
  <c r="N25" i="4"/>
  <c r="O25" i="4"/>
  <c r="D54" i="4"/>
  <c r="N54" i="4"/>
  <c r="N28" i="4"/>
  <c r="O28" i="4"/>
  <c r="C50" i="4"/>
  <c r="N50" i="4"/>
  <c r="N24" i="4"/>
  <c r="O24" i="4"/>
  <c r="F34" i="4"/>
  <c r="N34" i="4"/>
  <c r="N8" i="4"/>
  <c r="O8" i="4"/>
  <c r="C49" i="4"/>
  <c r="N49" i="4"/>
  <c r="N23" i="4"/>
  <c r="O23" i="4"/>
  <c r="B53" i="4"/>
  <c r="N53" i="4"/>
  <c r="N27" i="4"/>
  <c r="O27" i="4"/>
  <c r="B26" i="12"/>
  <c r="B5" i="6"/>
  <c r="C16" i="2"/>
  <c r="D16" i="2"/>
  <c r="B26" i="6"/>
  <c r="B5" i="12"/>
  <c r="D4" i="6"/>
  <c r="E3" i="6"/>
  <c r="N75" i="4"/>
  <c r="P75" i="4"/>
  <c r="N66" i="4"/>
  <c r="D5" i="10"/>
  <c r="E4" i="10"/>
  <c r="N60" i="4"/>
  <c r="P60" i="4"/>
  <c r="G45" i="4"/>
  <c r="N67" i="4"/>
  <c r="P67" i="4"/>
  <c r="E24" i="12"/>
  <c r="D25" i="12"/>
  <c r="N59" i="4"/>
  <c r="N76" i="4"/>
  <c r="P76" i="4"/>
  <c r="E3" i="12"/>
  <c r="D4" i="12"/>
  <c r="N78" i="4"/>
  <c r="P78" i="4"/>
  <c r="N65" i="4"/>
  <c r="P65" i="4"/>
  <c r="E7" i="12"/>
  <c r="E7" i="6"/>
  <c r="F14" i="2"/>
  <c r="N20" i="4"/>
  <c r="O20" i="4"/>
  <c r="C46" i="4"/>
  <c r="N46" i="4"/>
  <c r="F15" i="4"/>
  <c r="F41" i="4"/>
  <c r="N41" i="4"/>
  <c r="L14" i="4"/>
  <c r="L40" i="4"/>
  <c r="F16" i="4"/>
  <c r="F42" i="4"/>
  <c r="F14" i="4"/>
  <c r="P68" i="4"/>
  <c r="E17" i="4"/>
  <c r="E16" i="4"/>
  <c r="P66" i="4"/>
  <c r="I8" i="2"/>
  <c r="E20" i="5"/>
  <c r="P70" i="4"/>
  <c r="M8" i="2"/>
  <c r="M6" i="12"/>
  <c r="C49" i="10"/>
  <c r="C29" i="10"/>
  <c r="C8" i="10"/>
  <c r="C17" i="10"/>
  <c r="C18" i="10"/>
  <c r="C19" i="10"/>
  <c r="C8" i="2"/>
  <c r="C6" i="12"/>
  <c r="P8" i="2"/>
  <c r="P6" i="6"/>
  <c r="E8" i="2"/>
  <c r="E6" i="6"/>
  <c r="J8" i="2"/>
  <c r="J6" i="12"/>
  <c r="Q8" i="2"/>
  <c r="Q6" i="12"/>
  <c r="D8" i="2"/>
  <c r="D17" i="2"/>
  <c r="B25" i="2"/>
  <c r="D49" i="10"/>
  <c r="D29" i="10"/>
  <c r="D8" i="10"/>
  <c r="D17" i="10"/>
  <c r="D18" i="10"/>
  <c r="D19" i="10"/>
  <c r="H8" i="2"/>
  <c r="H6" i="12"/>
  <c r="T8" i="2"/>
  <c r="E31" i="5"/>
  <c r="L8" i="2"/>
  <c r="L6" i="12"/>
  <c r="U8" i="2"/>
  <c r="U18" i="2"/>
  <c r="O8" i="2"/>
  <c r="O6" i="6"/>
  <c r="K8" i="2"/>
  <c r="E22" i="5"/>
  <c r="R8" i="2"/>
  <c r="E29" i="5"/>
  <c r="S8" i="2"/>
  <c r="S18" i="2"/>
  <c r="N8" i="2"/>
  <c r="N6" i="6"/>
  <c r="V8" i="2"/>
  <c r="V18" i="2"/>
  <c r="G8" i="2"/>
  <c r="G6" i="12"/>
  <c r="D37" i="10"/>
  <c r="D57" i="10"/>
  <c r="N45" i="4"/>
  <c r="F6" i="12"/>
  <c r="E17" i="5"/>
  <c r="C37" i="10"/>
  <c r="C57" i="10"/>
  <c r="E16" i="10"/>
  <c r="F16" i="10"/>
  <c r="F57" i="10"/>
  <c r="E25" i="6"/>
  <c r="F24" i="6"/>
  <c r="O80" i="4"/>
  <c r="I46" i="10"/>
  <c r="J45" i="10"/>
  <c r="I25" i="10"/>
  <c r="H26" i="10"/>
  <c r="N9" i="4"/>
  <c r="O9" i="4"/>
  <c r="N19" i="4"/>
  <c r="O19" i="4"/>
  <c r="N35" i="4"/>
  <c r="F7" i="6"/>
  <c r="F7" i="12"/>
  <c r="G14" i="2"/>
  <c r="D26" i="12"/>
  <c r="D5" i="6"/>
  <c r="D5" i="12"/>
  <c r="D26" i="6"/>
  <c r="F3" i="12"/>
  <c r="E4" i="12"/>
  <c r="F24" i="12"/>
  <c r="E25" i="12"/>
  <c r="C5" i="12"/>
  <c r="C5" i="6"/>
  <c r="C26" i="12"/>
  <c r="C26" i="6"/>
  <c r="P59" i="4"/>
  <c r="N80" i="4"/>
  <c r="F3" i="6"/>
  <c r="E4" i="6"/>
  <c r="E16" i="2"/>
  <c r="E5" i="10"/>
  <c r="E8" i="10"/>
  <c r="F4" i="10"/>
  <c r="N15" i="4"/>
  <c r="O15" i="4"/>
  <c r="E28" i="5"/>
  <c r="F40" i="4"/>
  <c r="N40" i="4"/>
  <c r="N14" i="4"/>
  <c r="O14" i="4"/>
  <c r="E6" i="12"/>
  <c r="U6" i="12"/>
  <c r="T6" i="12"/>
  <c r="E42" i="4"/>
  <c r="N42" i="4"/>
  <c r="N16" i="4"/>
  <c r="O16" i="4"/>
  <c r="N17" i="4"/>
  <c r="O17" i="4"/>
  <c r="E43" i="4"/>
  <c r="N43" i="4"/>
  <c r="I6" i="12"/>
  <c r="E32" i="5"/>
  <c r="E19" i="5"/>
  <c r="E30" i="5"/>
  <c r="U6" i="6"/>
  <c r="C38" i="10"/>
  <c r="C39" i="10"/>
  <c r="C40" i="10"/>
  <c r="N6" i="12"/>
  <c r="J6" i="6"/>
  <c r="M6" i="6"/>
  <c r="E21" i="5"/>
  <c r="E24" i="5"/>
  <c r="O6" i="12"/>
  <c r="E33" i="5"/>
  <c r="I6" i="6"/>
  <c r="E27" i="5"/>
  <c r="Q6" i="6"/>
  <c r="G6" i="6"/>
  <c r="R6" i="12"/>
  <c r="C17" i="2"/>
  <c r="C8" i="6"/>
  <c r="K6" i="6"/>
  <c r="K6" i="12"/>
  <c r="P6" i="12"/>
  <c r="E49" i="10"/>
  <c r="E26" i="5"/>
  <c r="E29" i="10"/>
  <c r="C6" i="6"/>
  <c r="B49" i="10"/>
  <c r="B29" i="10"/>
  <c r="B38" i="10"/>
  <c r="B39" i="10"/>
  <c r="B40" i="10"/>
  <c r="B8" i="10"/>
  <c r="B17" i="10"/>
  <c r="B8" i="2"/>
  <c r="E16" i="5"/>
  <c r="E14" i="5"/>
  <c r="E37" i="10"/>
  <c r="E57" i="10"/>
  <c r="F25" i="6"/>
  <c r="G24" i="6"/>
  <c r="E18" i="5"/>
  <c r="V6" i="6"/>
  <c r="R6" i="6"/>
  <c r="T6" i="6"/>
  <c r="E25" i="5"/>
  <c r="S6" i="6"/>
  <c r="V6" i="12"/>
  <c r="R18" i="2"/>
  <c r="R9" i="12"/>
  <c r="T18" i="2"/>
  <c r="T9" i="12"/>
  <c r="H6" i="6"/>
  <c r="S6" i="12"/>
  <c r="C58" i="10"/>
  <c r="C59" i="10"/>
  <c r="C60" i="10"/>
  <c r="D58" i="10"/>
  <c r="D59" i="10"/>
  <c r="D60" i="10"/>
  <c r="E23" i="5"/>
  <c r="L6" i="6"/>
  <c r="E15" i="5"/>
  <c r="D6" i="12"/>
  <c r="D6" i="6"/>
  <c r="J46" i="10"/>
  <c r="K45" i="10"/>
  <c r="E17" i="10"/>
  <c r="E18" i="10"/>
  <c r="E19" i="10"/>
  <c r="G16" i="10"/>
  <c r="H16" i="10"/>
  <c r="F37" i="10"/>
  <c r="D38" i="10"/>
  <c r="D39" i="10"/>
  <c r="D40" i="10"/>
  <c r="I26" i="10"/>
  <c r="J25" i="10"/>
  <c r="G7" i="12"/>
  <c r="G7" i="6"/>
  <c r="H14" i="2"/>
  <c r="F5" i="10"/>
  <c r="G4" i="10"/>
  <c r="F16" i="2"/>
  <c r="G16" i="2"/>
  <c r="G3" i="12"/>
  <c r="F4" i="12"/>
  <c r="E5" i="6"/>
  <c r="E17" i="2"/>
  <c r="B26" i="2"/>
  <c r="E5" i="12"/>
  <c r="E26" i="6"/>
  <c r="E26" i="12"/>
  <c r="S9" i="12"/>
  <c r="S9" i="6"/>
  <c r="D18" i="2"/>
  <c r="D8" i="12"/>
  <c r="D8" i="6"/>
  <c r="U9" i="12"/>
  <c r="U9" i="6"/>
  <c r="V9" i="12"/>
  <c r="V9" i="6"/>
  <c r="G3" i="6"/>
  <c r="F4" i="6"/>
  <c r="P80" i="4"/>
  <c r="G24" i="12"/>
  <c r="F25" i="12"/>
  <c r="N55" i="4"/>
  <c r="N29" i="4"/>
  <c r="R9" i="6"/>
  <c r="C8" i="12"/>
  <c r="E58" i="10"/>
  <c r="E59" i="10"/>
  <c r="E60" i="10"/>
  <c r="F29" i="10"/>
  <c r="F38" i="10"/>
  <c r="F8" i="10"/>
  <c r="F17" i="10"/>
  <c r="F18" i="10"/>
  <c r="F19" i="10"/>
  <c r="F49" i="10"/>
  <c r="F58" i="10"/>
  <c r="F59" i="10"/>
  <c r="F60" i="10"/>
  <c r="H16" i="2"/>
  <c r="H5" i="12"/>
  <c r="C18" i="2"/>
  <c r="B24" i="2"/>
  <c r="T9" i="6"/>
  <c r="G37" i="10"/>
  <c r="G57" i="10"/>
  <c r="G25" i="6"/>
  <c r="H24" i="6"/>
  <c r="H37" i="10"/>
  <c r="H57" i="10"/>
  <c r="B58" i="10"/>
  <c r="B59" i="10"/>
  <c r="B60" i="10"/>
  <c r="L45" i="10"/>
  <c r="K46" i="10"/>
  <c r="E38" i="10"/>
  <c r="E39" i="10"/>
  <c r="E40" i="10"/>
  <c r="J26" i="10"/>
  <c r="K25" i="10"/>
  <c r="D19" i="2"/>
  <c r="D9" i="12"/>
  <c r="D9" i="6"/>
  <c r="I16" i="10"/>
  <c r="E18" i="2"/>
  <c r="E8" i="6"/>
  <c r="E8" i="12"/>
  <c r="G5" i="12"/>
  <c r="G5" i="6"/>
  <c r="G26" i="12"/>
  <c r="G17" i="2"/>
  <c r="B28" i="2"/>
  <c r="G26" i="6"/>
  <c r="B18" i="10"/>
  <c r="B19" i="10"/>
  <c r="G25" i="12"/>
  <c r="H24" i="12"/>
  <c r="B6" i="12"/>
  <c r="B6" i="6"/>
  <c r="E13" i="5"/>
  <c r="B17" i="2"/>
  <c r="B23" i="2"/>
  <c r="H3" i="6"/>
  <c r="G4" i="6"/>
  <c r="G4" i="12"/>
  <c r="H3" i="12"/>
  <c r="F5" i="12"/>
  <c r="F26" i="12"/>
  <c r="F5" i="6"/>
  <c r="F17" i="2"/>
  <c r="B27" i="2"/>
  <c r="F26" i="6"/>
  <c r="I16" i="2"/>
  <c r="J16" i="2"/>
  <c r="G5" i="10"/>
  <c r="H4" i="10"/>
  <c r="H7" i="12"/>
  <c r="H7" i="6"/>
  <c r="I14" i="2"/>
  <c r="H5" i="6"/>
  <c r="H26" i="6"/>
  <c r="H26" i="12"/>
  <c r="H17" i="2"/>
  <c r="B29" i="2"/>
  <c r="C19" i="2"/>
  <c r="C9" i="6"/>
  <c r="C9" i="12"/>
  <c r="G49" i="10"/>
  <c r="G58" i="10"/>
  <c r="G59" i="10"/>
  <c r="G60" i="10"/>
  <c r="G29" i="10"/>
  <c r="G8" i="10"/>
  <c r="G17" i="10"/>
  <c r="G18" i="10"/>
  <c r="G19" i="10"/>
  <c r="I37" i="10"/>
  <c r="I57" i="10"/>
  <c r="H25" i="6"/>
  <c r="I24" i="6"/>
  <c r="J16" i="10"/>
  <c r="K16" i="10"/>
  <c r="L46" i="10"/>
  <c r="M45" i="10"/>
  <c r="F39" i="10"/>
  <c r="F40" i="10"/>
  <c r="K26" i="10"/>
  <c r="L25" i="10"/>
  <c r="E9" i="6"/>
  <c r="E19" i="2"/>
  <c r="E9" i="12"/>
  <c r="K16" i="2"/>
  <c r="H4" i="6"/>
  <c r="I3" i="6"/>
  <c r="G18" i="2"/>
  <c r="G8" i="6"/>
  <c r="G8" i="12"/>
  <c r="I7" i="12"/>
  <c r="I7" i="6"/>
  <c r="J14" i="2"/>
  <c r="F8" i="6"/>
  <c r="F18" i="2"/>
  <c r="F8" i="12"/>
  <c r="H4" i="12"/>
  <c r="I3" i="12"/>
  <c r="J17" i="2"/>
  <c r="B31" i="2"/>
  <c r="J26" i="12"/>
  <c r="J5" i="12"/>
  <c r="J5" i="6"/>
  <c r="J26" i="6"/>
  <c r="I5" i="12"/>
  <c r="I5" i="6"/>
  <c r="I17" i="2"/>
  <c r="B30" i="2"/>
  <c r="I26" i="12"/>
  <c r="I26" i="6"/>
  <c r="D10" i="12"/>
  <c r="D10" i="6"/>
  <c r="H5" i="10"/>
  <c r="I4" i="10"/>
  <c r="B18" i="2"/>
  <c r="B8" i="6"/>
  <c r="B8" i="12"/>
  <c r="H25" i="12"/>
  <c r="I24" i="12"/>
  <c r="H8" i="6"/>
  <c r="H8" i="12"/>
  <c r="H18" i="2"/>
  <c r="H19" i="2"/>
  <c r="H49" i="10"/>
  <c r="H58" i="10"/>
  <c r="H59" i="10"/>
  <c r="H60" i="10"/>
  <c r="H29" i="10"/>
  <c r="H8" i="10"/>
  <c r="H17" i="10"/>
  <c r="H18" i="10"/>
  <c r="H19" i="10"/>
  <c r="C10" i="12"/>
  <c r="C10" i="6"/>
  <c r="K37" i="10"/>
  <c r="K57" i="10"/>
  <c r="J24" i="6"/>
  <c r="I25" i="6"/>
  <c r="J37" i="10"/>
  <c r="J57" i="10"/>
  <c r="M46" i="10"/>
  <c r="N45" i="10"/>
  <c r="G38" i="10"/>
  <c r="G39" i="10"/>
  <c r="G40" i="10"/>
  <c r="L26" i="10"/>
  <c r="M25" i="10"/>
  <c r="I18" i="2"/>
  <c r="I8" i="6"/>
  <c r="I8" i="12"/>
  <c r="J7" i="6"/>
  <c r="J7" i="12"/>
  <c r="K14" i="2"/>
  <c r="I4" i="6"/>
  <c r="J3" i="6"/>
  <c r="J24" i="12"/>
  <c r="I25" i="12"/>
  <c r="E10" i="6"/>
  <c r="E10" i="12"/>
  <c r="B9" i="6"/>
  <c r="B19" i="2"/>
  <c r="B9" i="12"/>
  <c r="I5" i="10"/>
  <c r="J4" i="10"/>
  <c r="J8" i="6"/>
  <c r="J8" i="12"/>
  <c r="J18" i="2"/>
  <c r="F9" i="12"/>
  <c r="F19" i="2"/>
  <c r="F9" i="6"/>
  <c r="G19" i="2"/>
  <c r="G9" i="12"/>
  <c r="G9" i="6"/>
  <c r="L16" i="10"/>
  <c r="J3" i="12"/>
  <c r="I4" i="12"/>
  <c r="K5" i="12"/>
  <c r="K5" i="6"/>
  <c r="K17" i="2"/>
  <c r="B32" i="2"/>
  <c r="K26" i="12"/>
  <c r="K26" i="6"/>
  <c r="L16" i="2"/>
  <c r="H9" i="6"/>
  <c r="H9" i="12"/>
  <c r="I8" i="10"/>
  <c r="I17" i="10"/>
  <c r="I18" i="10"/>
  <c r="I19" i="10"/>
  <c r="I29" i="10"/>
  <c r="I49" i="10"/>
  <c r="I58" i="10"/>
  <c r="I59" i="10"/>
  <c r="I60" i="10"/>
  <c r="L37" i="10"/>
  <c r="L57" i="10"/>
  <c r="K24" i="6"/>
  <c r="J25" i="6"/>
  <c r="N46" i="10"/>
  <c r="O45" i="10"/>
  <c r="H38" i="10"/>
  <c r="H39" i="10"/>
  <c r="H40" i="10"/>
  <c r="M26" i="10"/>
  <c r="N25" i="10"/>
  <c r="G10" i="12"/>
  <c r="G10" i="6"/>
  <c r="J9" i="6"/>
  <c r="J9" i="12"/>
  <c r="J19" i="2"/>
  <c r="J5" i="10"/>
  <c r="K4" i="10"/>
  <c r="H10" i="6"/>
  <c r="H10" i="12"/>
  <c r="K24" i="12"/>
  <c r="J25" i="12"/>
  <c r="K7" i="12"/>
  <c r="K7" i="6"/>
  <c r="L14" i="2"/>
  <c r="L17" i="2"/>
  <c r="B33" i="2"/>
  <c r="L26" i="12"/>
  <c r="L5" i="6"/>
  <c r="L5" i="12"/>
  <c r="L26" i="6"/>
  <c r="M16" i="2"/>
  <c r="F10" i="12"/>
  <c r="F10" i="6"/>
  <c r="I9" i="6"/>
  <c r="I9" i="12"/>
  <c r="I19" i="2"/>
  <c r="K8" i="6"/>
  <c r="K18" i="2"/>
  <c r="K8" i="12"/>
  <c r="K3" i="12"/>
  <c r="J4" i="12"/>
  <c r="M16" i="10"/>
  <c r="B10" i="12"/>
  <c r="B10" i="6"/>
  <c r="K3" i="6"/>
  <c r="J4" i="6"/>
  <c r="J29" i="10"/>
  <c r="J49" i="10"/>
  <c r="J58" i="10"/>
  <c r="J59" i="10"/>
  <c r="J60" i="10"/>
  <c r="J8" i="10"/>
  <c r="J17" i="10"/>
  <c r="K25" i="6"/>
  <c r="L24" i="6"/>
  <c r="M37" i="10"/>
  <c r="M57" i="10"/>
  <c r="O46" i="10"/>
  <c r="P45" i="10"/>
  <c r="I38" i="10"/>
  <c r="I39" i="10"/>
  <c r="I40" i="10"/>
  <c r="N26" i="10"/>
  <c r="O25" i="10"/>
  <c r="K4" i="12"/>
  <c r="L3" i="12"/>
  <c r="L7" i="12"/>
  <c r="L7" i="6"/>
  <c r="M14" i="2"/>
  <c r="K25" i="12"/>
  <c r="L24" i="12"/>
  <c r="L3" i="6"/>
  <c r="K4" i="6"/>
  <c r="N16" i="10"/>
  <c r="I10" i="6"/>
  <c r="I10" i="12"/>
  <c r="M5" i="6"/>
  <c r="M5" i="12"/>
  <c r="M26" i="6"/>
  <c r="M17" i="2"/>
  <c r="B34" i="2"/>
  <c r="M26" i="12"/>
  <c r="N16" i="2"/>
  <c r="K5" i="10"/>
  <c r="L4" i="10"/>
  <c r="K19" i="2"/>
  <c r="K9" i="6"/>
  <c r="K9" i="12"/>
  <c r="L18" i="2"/>
  <c r="L8" i="6"/>
  <c r="L8" i="12"/>
  <c r="J10" i="12"/>
  <c r="J10" i="6"/>
  <c r="J18" i="10"/>
  <c r="J19" i="10"/>
  <c r="K49" i="10"/>
  <c r="K58" i="10"/>
  <c r="K59" i="10"/>
  <c r="K60" i="10"/>
  <c r="K29" i="10"/>
  <c r="K8" i="10"/>
  <c r="K17" i="10"/>
  <c r="N37" i="10"/>
  <c r="N57" i="10"/>
  <c r="L25" i="6"/>
  <c r="M24" i="6"/>
  <c r="Q45" i="10"/>
  <c r="P46" i="10"/>
  <c r="J38" i="10"/>
  <c r="J39" i="10"/>
  <c r="J40" i="10"/>
  <c r="O26" i="10"/>
  <c r="P25" i="10"/>
  <c r="M3" i="6"/>
  <c r="L4" i="6"/>
  <c r="M3" i="12"/>
  <c r="L4" i="12"/>
  <c r="M18" i="2"/>
  <c r="M8" i="6"/>
  <c r="M8" i="12"/>
  <c r="O16" i="10"/>
  <c r="M24" i="12"/>
  <c r="L25" i="12"/>
  <c r="L19" i="2"/>
  <c r="L9" i="6"/>
  <c r="L9" i="12"/>
  <c r="K10" i="6"/>
  <c r="K10" i="12"/>
  <c r="L5" i="10"/>
  <c r="M4" i="10"/>
  <c r="N17" i="2"/>
  <c r="B35" i="2"/>
  <c r="N26" i="12"/>
  <c r="N5" i="6"/>
  <c r="N5" i="12"/>
  <c r="N26" i="6"/>
  <c r="O16" i="2"/>
  <c r="M7" i="12"/>
  <c r="M7" i="6"/>
  <c r="N14" i="2"/>
  <c r="K18" i="10"/>
  <c r="K19" i="10"/>
  <c r="L49" i="10"/>
  <c r="L58" i="10"/>
  <c r="L59" i="10"/>
  <c r="L60" i="10"/>
  <c r="L29" i="10"/>
  <c r="L8" i="10"/>
  <c r="O37" i="10"/>
  <c r="O38" i="10"/>
  <c r="O57" i="10"/>
  <c r="O58" i="10"/>
  <c r="N24" i="6"/>
  <c r="M25" i="6"/>
  <c r="Q46" i="10"/>
  <c r="R45" i="10"/>
  <c r="L17" i="10"/>
  <c r="K38" i="10"/>
  <c r="K39" i="10"/>
  <c r="K40" i="10"/>
  <c r="P26" i="10"/>
  <c r="Q25" i="10"/>
  <c r="N7" i="12"/>
  <c r="N7" i="6"/>
  <c r="O14" i="2"/>
  <c r="M5" i="10"/>
  <c r="N4" i="10"/>
  <c r="L10" i="6"/>
  <c r="L10" i="12"/>
  <c r="M9" i="6"/>
  <c r="M19" i="2"/>
  <c r="M9" i="12"/>
  <c r="N3" i="12"/>
  <c r="M4" i="12"/>
  <c r="N8" i="6"/>
  <c r="N8" i="12"/>
  <c r="N18" i="2"/>
  <c r="N24" i="12"/>
  <c r="M25" i="12"/>
  <c r="N3" i="6"/>
  <c r="M4" i="6"/>
  <c r="O5" i="12"/>
  <c r="O5" i="6"/>
  <c r="O26" i="12"/>
  <c r="O17" i="2"/>
  <c r="B36" i="2"/>
  <c r="O26" i="6"/>
  <c r="P16" i="2"/>
  <c r="O17" i="10"/>
  <c r="P16" i="10"/>
  <c r="L18" i="10"/>
  <c r="L19" i="10"/>
  <c r="M8" i="10"/>
  <c r="M17" i="10"/>
  <c r="M18" i="10"/>
  <c r="M19" i="10"/>
  <c r="M49" i="10"/>
  <c r="M29" i="10"/>
  <c r="P37" i="10"/>
  <c r="P38" i="10"/>
  <c r="P57" i="10"/>
  <c r="P58" i="10"/>
  <c r="M58" i="10"/>
  <c r="O24" i="6"/>
  <c r="N25" i="6"/>
  <c r="R46" i="10"/>
  <c r="S45" i="10"/>
  <c r="L38" i="10"/>
  <c r="L39" i="10"/>
  <c r="L40" i="10"/>
  <c r="Q26" i="10"/>
  <c r="R25" i="10"/>
  <c r="O29" i="12"/>
  <c r="O37" i="12"/>
  <c r="O33" i="12"/>
  <c r="N9" i="6"/>
  <c r="N9" i="12"/>
  <c r="N19" i="2"/>
  <c r="O8" i="6"/>
  <c r="O8" i="12"/>
  <c r="O18" i="2"/>
  <c r="O3" i="12"/>
  <c r="N4" i="12"/>
  <c r="N5" i="10"/>
  <c r="O4" i="10"/>
  <c r="O7" i="12"/>
  <c r="O7" i="6"/>
  <c r="P14" i="2"/>
  <c r="P17" i="10"/>
  <c r="Q16" i="10"/>
  <c r="P5" i="6"/>
  <c r="P17" i="2"/>
  <c r="B37" i="2"/>
  <c r="P5" i="12"/>
  <c r="P26" i="12"/>
  <c r="P26" i="6"/>
  <c r="Q16" i="2"/>
  <c r="O29" i="6"/>
  <c r="O33" i="6"/>
  <c r="O37" i="6"/>
  <c r="O3" i="6"/>
  <c r="N4" i="6"/>
  <c r="O24" i="12"/>
  <c r="N25" i="12"/>
  <c r="M10" i="12"/>
  <c r="M10" i="6"/>
  <c r="M59" i="10"/>
  <c r="M60" i="10"/>
  <c r="N29" i="10"/>
  <c r="N49" i="10"/>
  <c r="N58" i="10"/>
  <c r="N59" i="10"/>
  <c r="N60" i="10"/>
  <c r="N8" i="10"/>
  <c r="N17" i="10"/>
  <c r="N18" i="10"/>
  <c r="N19" i="10"/>
  <c r="Q37" i="10"/>
  <c r="Q38" i="10"/>
  <c r="Q57" i="10"/>
  <c r="Q58" i="10"/>
  <c r="P24" i="6"/>
  <c r="O25" i="6"/>
  <c r="T45" i="10"/>
  <c r="S46" i="10"/>
  <c r="M38" i="10"/>
  <c r="M39" i="10"/>
  <c r="M40" i="10"/>
  <c r="R26" i="10"/>
  <c r="S25" i="10"/>
  <c r="P29" i="12"/>
  <c r="P33" i="12"/>
  <c r="P37" i="12"/>
  <c r="P7" i="6"/>
  <c r="P7" i="12"/>
  <c r="Q14" i="2"/>
  <c r="P3" i="6"/>
  <c r="O4" i="6"/>
  <c r="Q17" i="2"/>
  <c r="W17" i="2"/>
  <c r="E6" i="11"/>
  <c r="R16" i="2"/>
  <c r="S16" i="2"/>
  <c r="T16" i="2"/>
  <c r="U16" i="2"/>
  <c r="V16" i="2"/>
  <c r="P18" i="2"/>
  <c r="P8" i="6"/>
  <c r="P8" i="12"/>
  <c r="O5" i="10"/>
  <c r="P4" i="10"/>
  <c r="O4" i="12"/>
  <c r="P3" i="12"/>
  <c r="P37" i="6"/>
  <c r="P33" i="6"/>
  <c r="P29" i="6"/>
  <c r="O25" i="12"/>
  <c r="P24" i="12"/>
  <c r="Q17" i="10"/>
  <c r="R16" i="10"/>
  <c r="O9" i="12"/>
  <c r="O9" i="6"/>
  <c r="O19" i="2"/>
  <c r="N10" i="6"/>
  <c r="N10" i="12"/>
  <c r="O49" i="10"/>
  <c r="O59" i="10"/>
  <c r="O60" i="10"/>
  <c r="O29" i="10"/>
  <c r="O39" i="10"/>
  <c r="O40" i="10"/>
  <c r="O8" i="10"/>
  <c r="O18" i="10"/>
  <c r="O19" i="10"/>
  <c r="R37" i="10"/>
  <c r="R38" i="10"/>
  <c r="R57" i="10"/>
  <c r="R58" i="10"/>
  <c r="Q24" i="6"/>
  <c r="P25" i="6"/>
  <c r="T46" i="10"/>
  <c r="U45" i="10"/>
  <c r="N38" i="10"/>
  <c r="N39" i="10"/>
  <c r="N40" i="10"/>
  <c r="S26" i="10"/>
  <c r="T25" i="10"/>
  <c r="R17" i="10"/>
  <c r="S16" i="10"/>
  <c r="P4" i="12"/>
  <c r="Q3" i="12"/>
  <c r="Q18" i="2"/>
  <c r="Q8" i="6"/>
  <c r="B12" i="6"/>
  <c r="Q8" i="12"/>
  <c r="B12" i="12"/>
  <c r="Q7" i="12"/>
  <c r="Q7" i="6"/>
  <c r="R14" i="2"/>
  <c r="O10" i="12"/>
  <c r="O10" i="6"/>
  <c r="P25" i="12"/>
  <c r="Q24" i="12"/>
  <c r="P5" i="10"/>
  <c r="Q4" i="10"/>
  <c r="P19" i="2"/>
  <c r="P9" i="6"/>
  <c r="P9" i="12"/>
  <c r="Q3" i="6"/>
  <c r="P4" i="6"/>
  <c r="P49" i="10"/>
  <c r="P59" i="10"/>
  <c r="P60" i="10"/>
  <c r="P29" i="10"/>
  <c r="P39" i="10"/>
  <c r="P40" i="10"/>
  <c r="P8" i="10"/>
  <c r="P18" i="10"/>
  <c r="P19" i="10"/>
  <c r="Q25" i="6"/>
  <c r="R24" i="6"/>
  <c r="S37" i="10"/>
  <c r="S38" i="10"/>
  <c r="S57" i="10"/>
  <c r="S58" i="10"/>
  <c r="U46" i="10"/>
  <c r="V45" i="10"/>
  <c r="V46" i="10"/>
  <c r="U25" i="10"/>
  <c r="T26" i="10"/>
  <c r="R24" i="12"/>
  <c r="Q25" i="12"/>
  <c r="R7" i="12"/>
  <c r="R7" i="6"/>
  <c r="S14" i="2"/>
  <c r="R19" i="2"/>
  <c r="S17" i="10"/>
  <c r="T16" i="10"/>
  <c r="Q9" i="6"/>
  <c r="Q19" i="2"/>
  <c r="Q9" i="12"/>
  <c r="P10" i="6"/>
  <c r="P10" i="12"/>
  <c r="R3" i="6"/>
  <c r="Q4" i="6"/>
  <c r="Q5" i="10"/>
  <c r="R4" i="10"/>
  <c r="R3" i="12"/>
  <c r="Q4" i="12"/>
  <c r="Q8" i="10"/>
  <c r="Q18" i="10"/>
  <c r="Q19" i="10"/>
  <c r="Q29" i="10"/>
  <c r="Q39" i="10"/>
  <c r="Q40" i="10"/>
  <c r="Q49" i="10"/>
  <c r="Q59" i="10"/>
  <c r="Q60" i="10"/>
  <c r="T37" i="10"/>
  <c r="T38" i="10"/>
  <c r="T57" i="10"/>
  <c r="T58" i="10"/>
  <c r="R25" i="6"/>
  <c r="S24" i="6"/>
  <c r="U26" i="10"/>
  <c r="V25" i="10"/>
  <c r="V26" i="10"/>
  <c r="Q10" i="6"/>
  <c r="Q10" i="12"/>
  <c r="S3" i="6"/>
  <c r="R4" i="6"/>
  <c r="R10" i="6"/>
  <c r="R10" i="12"/>
  <c r="S3" i="12"/>
  <c r="R4" i="12"/>
  <c r="R5" i="10"/>
  <c r="S4" i="10"/>
  <c r="T17" i="10"/>
  <c r="U16" i="10"/>
  <c r="S7" i="12"/>
  <c r="S7" i="6"/>
  <c r="T14" i="2"/>
  <c r="S19" i="2"/>
  <c r="S24" i="12"/>
  <c r="R25" i="12"/>
  <c r="R29" i="10"/>
  <c r="R39" i="10"/>
  <c r="R40" i="10"/>
  <c r="R8" i="10"/>
  <c r="R18" i="10"/>
  <c r="R19" i="10"/>
  <c r="R49" i="10"/>
  <c r="R59" i="10"/>
  <c r="R60" i="10"/>
  <c r="S25" i="6"/>
  <c r="T24" i="6"/>
  <c r="U37" i="10"/>
  <c r="U38" i="10"/>
  <c r="U57" i="10"/>
  <c r="U58" i="10"/>
  <c r="S10" i="6"/>
  <c r="S10" i="12"/>
  <c r="T7" i="12"/>
  <c r="T7" i="6"/>
  <c r="U14" i="2"/>
  <c r="T19" i="2"/>
  <c r="S4" i="12"/>
  <c r="T3" i="12"/>
  <c r="T3" i="6"/>
  <c r="S4" i="6"/>
  <c r="S25" i="12"/>
  <c r="T24" i="12"/>
  <c r="S5" i="10"/>
  <c r="T4" i="10"/>
  <c r="U17" i="10"/>
  <c r="V16" i="10"/>
  <c r="V57" i="10"/>
  <c r="V58" i="10"/>
  <c r="S49" i="10"/>
  <c r="S59" i="10"/>
  <c r="S60" i="10"/>
  <c r="S29" i="10"/>
  <c r="S39" i="10"/>
  <c r="S40" i="10"/>
  <c r="S8" i="10"/>
  <c r="S18" i="10"/>
  <c r="S19" i="10"/>
  <c r="T25" i="6"/>
  <c r="U24" i="6"/>
  <c r="W58" i="10"/>
  <c r="D54" i="11"/>
  <c r="V17" i="10"/>
  <c r="V37" i="10"/>
  <c r="V38" i="10"/>
  <c r="W38" i="10"/>
  <c r="D39" i="11"/>
  <c r="T5" i="10"/>
  <c r="U4" i="10"/>
  <c r="T4" i="6"/>
  <c r="U3" i="6"/>
  <c r="T10" i="12"/>
  <c r="T10" i="6"/>
  <c r="W17" i="10"/>
  <c r="D24" i="11"/>
  <c r="U24" i="12"/>
  <c r="T25" i="12"/>
  <c r="U3" i="12"/>
  <c r="T4" i="12"/>
  <c r="U7" i="12"/>
  <c r="U7" i="6"/>
  <c r="V14" i="2"/>
  <c r="U19" i="2"/>
  <c r="T49" i="10"/>
  <c r="T59" i="10"/>
  <c r="T60" i="10"/>
  <c r="T29" i="10"/>
  <c r="T39" i="10"/>
  <c r="T40" i="10"/>
  <c r="T8" i="10"/>
  <c r="T18" i="10"/>
  <c r="T19" i="10"/>
  <c r="U25" i="6"/>
  <c r="V24" i="6"/>
  <c r="V25" i="6"/>
  <c r="V24" i="12"/>
  <c r="V25" i="12"/>
  <c r="U25" i="12"/>
  <c r="U5" i="10"/>
  <c r="V4" i="10"/>
  <c r="V5" i="10"/>
  <c r="U10" i="6"/>
  <c r="U10" i="12"/>
  <c r="V7" i="12"/>
  <c r="V7" i="6"/>
  <c r="V19" i="2"/>
  <c r="V3" i="12"/>
  <c r="V4" i="12"/>
  <c r="U4" i="12"/>
  <c r="V3" i="6"/>
  <c r="V4" i="6"/>
  <c r="U4" i="6"/>
  <c r="V29" i="10"/>
  <c r="V39" i="10"/>
  <c r="V40" i="10"/>
  <c r="V8" i="10"/>
  <c r="V18" i="10"/>
  <c r="V19" i="10"/>
  <c r="V49" i="10"/>
  <c r="V59" i="10"/>
  <c r="V60" i="10"/>
  <c r="U8" i="10"/>
  <c r="U18" i="10"/>
  <c r="U19" i="10"/>
  <c r="U29" i="10"/>
  <c r="U39" i="10"/>
  <c r="U40" i="10"/>
  <c r="U49" i="10"/>
  <c r="U59" i="10"/>
  <c r="U60" i="10"/>
  <c r="V10" i="6"/>
  <c r="V10" i="12"/>
  <c r="W19" i="2"/>
  <c r="F6" i="11"/>
  <c r="W19" i="10"/>
  <c r="E24" i="11"/>
  <c r="W60" i="10"/>
  <c r="E54" i="11"/>
  <c r="C56" i="11"/>
  <c r="W40" i="10"/>
  <c r="E39" i="11"/>
  <c r="B13" i="12"/>
  <c r="B19" i="12"/>
  <c r="B13" i="6"/>
  <c r="B19" i="6"/>
  <c r="C26" i="11"/>
  <c r="C41" i="11"/>
  <c r="C19" i="12"/>
  <c r="B20" i="12"/>
  <c r="B20" i="6"/>
  <c r="C19" i="6"/>
  <c r="C28" i="6"/>
  <c r="D28" i="6"/>
  <c r="E28" i="6"/>
  <c r="B28" i="6"/>
  <c r="F28" i="6"/>
  <c r="G28" i="6"/>
  <c r="H28" i="6"/>
  <c r="J28" i="6"/>
  <c r="I28" i="6"/>
  <c r="K28" i="6"/>
  <c r="L28" i="6"/>
  <c r="M28" i="6"/>
  <c r="N28" i="6"/>
  <c r="O28" i="6"/>
  <c r="P28" i="6"/>
  <c r="R28" i="6"/>
  <c r="Q28" i="6"/>
  <c r="S28" i="6"/>
  <c r="T28" i="6"/>
  <c r="U28" i="6"/>
  <c r="V28" i="6"/>
  <c r="C20" i="6"/>
  <c r="D19" i="6"/>
  <c r="D20" i="6"/>
  <c r="N28" i="12"/>
  <c r="N29" i="12"/>
  <c r="N30" i="12"/>
  <c r="C28" i="12"/>
  <c r="D28" i="12"/>
  <c r="E28" i="12"/>
  <c r="G28" i="12"/>
  <c r="F28" i="12"/>
  <c r="H28" i="12"/>
  <c r="B28" i="12"/>
  <c r="I28" i="12"/>
  <c r="J28" i="12"/>
  <c r="K28" i="12"/>
  <c r="L28" i="12"/>
  <c r="M28" i="12"/>
  <c r="O28" i="12"/>
  <c r="P28" i="12"/>
  <c r="Q28" i="12"/>
  <c r="R28" i="12"/>
  <c r="S28" i="12"/>
  <c r="T28" i="12"/>
  <c r="U28" i="12"/>
  <c r="V28" i="12"/>
  <c r="D19" i="12"/>
  <c r="D20" i="12"/>
  <c r="C20" i="12"/>
  <c r="T32" i="6"/>
  <c r="T36" i="6"/>
  <c r="P32" i="6"/>
  <c r="P36" i="6"/>
  <c r="N32" i="12"/>
  <c r="N36" i="12"/>
  <c r="N37" i="12"/>
  <c r="N38" i="12"/>
  <c r="U32" i="12"/>
  <c r="U36" i="12"/>
  <c r="Q32" i="12"/>
  <c r="Q36" i="12"/>
  <c r="L32" i="12"/>
  <c r="L29" i="12"/>
  <c r="L30" i="12"/>
  <c r="E29" i="12"/>
  <c r="E30" i="12"/>
  <c r="E32" i="12"/>
  <c r="L32" i="6"/>
  <c r="L29" i="6"/>
  <c r="L30" i="6"/>
  <c r="H32" i="6"/>
  <c r="H29" i="6"/>
  <c r="H30" i="6"/>
  <c r="E29" i="6"/>
  <c r="E30" i="6"/>
  <c r="E32" i="6"/>
  <c r="T32" i="12"/>
  <c r="T36" i="12"/>
  <c r="P32" i="12"/>
  <c r="P36" i="12"/>
  <c r="K32" i="12"/>
  <c r="K29" i="12"/>
  <c r="K30" i="12"/>
  <c r="H29" i="12"/>
  <c r="H30" i="12"/>
  <c r="H32" i="12"/>
  <c r="D32" i="12"/>
  <c r="D29" i="12"/>
  <c r="D30" i="12"/>
  <c r="S32" i="6"/>
  <c r="S36" i="6"/>
  <c r="O32" i="6"/>
  <c r="O36" i="6"/>
  <c r="K32" i="6"/>
  <c r="K29" i="6"/>
  <c r="K30" i="6"/>
  <c r="G29" i="6"/>
  <c r="G30" i="6"/>
  <c r="G32" i="6"/>
  <c r="D32" i="6"/>
  <c r="D29" i="6"/>
  <c r="D30" i="6"/>
  <c r="B32" i="12"/>
  <c r="B29" i="12"/>
  <c r="S32" i="12"/>
  <c r="S36" i="12"/>
  <c r="O32" i="12"/>
  <c r="O36" i="12"/>
  <c r="J32" i="12"/>
  <c r="J29" i="12"/>
  <c r="J30" i="12"/>
  <c r="F29" i="12"/>
  <c r="F30" i="12"/>
  <c r="F32" i="12"/>
  <c r="C32" i="12"/>
  <c r="C29" i="12"/>
  <c r="C30" i="12"/>
  <c r="V32" i="6"/>
  <c r="V36" i="6"/>
  <c r="Q32" i="6"/>
  <c r="Q36" i="6"/>
  <c r="N32" i="6"/>
  <c r="N29" i="6"/>
  <c r="N30" i="6"/>
  <c r="I32" i="6"/>
  <c r="I29" i="6"/>
  <c r="I30" i="6"/>
  <c r="F29" i="6"/>
  <c r="F30" i="6"/>
  <c r="F32" i="6"/>
  <c r="C29" i="6"/>
  <c r="C30" i="6"/>
  <c r="C32" i="6"/>
  <c r="V32" i="12"/>
  <c r="V36" i="12"/>
  <c r="R32" i="12"/>
  <c r="R36" i="12"/>
  <c r="M32" i="12"/>
  <c r="M29" i="12"/>
  <c r="M30" i="12"/>
  <c r="I32" i="12"/>
  <c r="I29" i="12"/>
  <c r="I30" i="12"/>
  <c r="G32" i="12"/>
  <c r="G29" i="12"/>
  <c r="G30" i="12"/>
  <c r="U32" i="6"/>
  <c r="U36" i="6"/>
  <c r="R32" i="6"/>
  <c r="R36" i="6"/>
  <c r="M32" i="6"/>
  <c r="M29" i="6"/>
  <c r="M30" i="6"/>
  <c r="J32" i="6"/>
  <c r="J29" i="6"/>
  <c r="J30" i="6"/>
  <c r="B32" i="6"/>
  <c r="B29" i="6"/>
  <c r="B18" i="6"/>
  <c r="B18" i="12"/>
  <c r="N33" i="12"/>
  <c r="N34" i="12"/>
  <c r="C36" i="6"/>
  <c r="C37" i="6"/>
  <c r="C38" i="6"/>
  <c r="C33" i="6"/>
  <c r="C34" i="6"/>
  <c r="F33" i="12"/>
  <c r="F34" i="12"/>
  <c r="F36" i="12"/>
  <c r="F37" i="12"/>
  <c r="F38" i="12"/>
  <c r="E36" i="6"/>
  <c r="E37" i="6"/>
  <c r="E38" i="6"/>
  <c r="E33" i="6"/>
  <c r="E34" i="6"/>
  <c r="E36" i="12"/>
  <c r="E37" i="12"/>
  <c r="E38" i="12"/>
  <c r="E33" i="12"/>
  <c r="E34" i="12"/>
  <c r="J36" i="6"/>
  <c r="J37" i="6"/>
  <c r="J38" i="6"/>
  <c r="J33" i="6"/>
  <c r="J34" i="6"/>
  <c r="I33" i="12"/>
  <c r="I34" i="12"/>
  <c r="I36" i="12"/>
  <c r="I37" i="12"/>
  <c r="I38" i="12"/>
  <c r="I36" i="6"/>
  <c r="I37" i="6"/>
  <c r="I38" i="6"/>
  <c r="I33" i="6"/>
  <c r="I34" i="6"/>
  <c r="D36" i="6"/>
  <c r="D37" i="6"/>
  <c r="D38" i="6"/>
  <c r="D33" i="6"/>
  <c r="D34" i="6"/>
  <c r="K33" i="6"/>
  <c r="K34" i="6"/>
  <c r="K36" i="6"/>
  <c r="K37" i="6"/>
  <c r="K38" i="6"/>
  <c r="D33" i="12"/>
  <c r="D34" i="12"/>
  <c r="D36" i="12"/>
  <c r="D37" i="12"/>
  <c r="D38" i="12"/>
  <c r="K36" i="12"/>
  <c r="K37" i="12"/>
  <c r="K38" i="12"/>
  <c r="K33" i="12"/>
  <c r="K34" i="12"/>
  <c r="L36" i="6"/>
  <c r="L37" i="6"/>
  <c r="L38" i="6"/>
  <c r="L33" i="6"/>
  <c r="L34" i="6"/>
  <c r="B30" i="12"/>
  <c r="B21" i="12"/>
  <c r="G36" i="6"/>
  <c r="G37" i="6"/>
  <c r="G38" i="6"/>
  <c r="G33" i="6"/>
  <c r="G34" i="6"/>
  <c r="H33" i="12"/>
  <c r="H34" i="12"/>
  <c r="H36" i="12"/>
  <c r="H37" i="12"/>
  <c r="H38" i="12"/>
  <c r="B30" i="6"/>
  <c r="B21" i="6"/>
  <c r="F36" i="6"/>
  <c r="F37" i="6"/>
  <c r="F38" i="6"/>
  <c r="F33" i="6"/>
  <c r="F34" i="6"/>
  <c r="B36" i="6"/>
  <c r="B37" i="6"/>
  <c r="B33" i="6"/>
  <c r="M36" i="6"/>
  <c r="M37" i="6"/>
  <c r="M38" i="6"/>
  <c r="M33" i="6"/>
  <c r="M34" i="6"/>
  <c r="G33" i="12"/>
  <c r="G34" i="12"/>
  <c r="G36" i="12"/>
  <c r="G37" i="12"/>
  <c r="G38" i="12"/>
  <c r="M36" i="12"/>
  <c r="M37" i="12"/>
  <c r="M38" i="12"/>
  <c r="M33" i="12"/>
  <c r="M34" i="12"/>
  <c r="N36" i="6"/>
  <c r="N37" i="6"/>
  <c r="N38" i="6"/>
  <c r="N33" i="6"/>
  <c r="N34" i="6"/>
  <c r="C36" i="12"/>
  <c r="C37" i="12"/>
  <c r="C38" i="12"/>
  <c r="C33" i="12"/>
  <c r="C34" i="12"/>
  <c r="J36" i="12"/>
  <c r="J37" i="12"/>
  <c r="J38" i="12"/>
  <c r="J33" i="12"/>
  <c r="J34" i="12"/>
  <c r="B33" i="12"/>
  <c r="B36" i="12"/>
  <c r="B37" i="12"/>
  <c r="H33" i="6"/>
  <c r="H34" i="6"/>
  <c r="H36" i="6"/>
  <c r="H37" i="6"/>
  <c r="H38" i="6"/>
  <c r="L36" i="12"/>
  <c r="L37" i="12"/>
  <c r="L38" i="12"/>
  <c r="L33" i="12"/>
  <c r="L34" i="12"/>
  <c r="C18" i="12"/>
  <c r="D18" i="12"/>
  <c r="D18" i="6"/>
  <c r="C18" i="6"/>
  <c r="C21" i="6"/>
  <c r="C22" i="6"/>
  <c r="B34" i="6"/>
  <c r="B22" i="6"/>
  <c r="B38" i="6"/>
  <c r="D21" i="6"/>
  <c r="D21" i="12"/>
  <c r="B38" i="12"/>
  <c r="B22" i="12"/>
  <c r="C21" i="12"/>
  <c r="B34" i="12"/>
  <c r="D22" i="12"/>
  <c r="C22" i="12"/>
  <c r="D22" i="6"/>
</calcChain>
</file>

<file path=xl/comments1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B8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8" authorId="0" shapeId="0">
      <text>
        <r>
          <rPr>
            <sz val="11"/>
            <color rgb="FF000000"/>
            <rFont val="Calibri"/>
            <family val="2"/>
            <charset val="204"/>
          </rPr>
          <t>за весь рік</t>
        </r>
      </text>
    </comment>
    <comment ref="B11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11" authorId="0" shapeId="0">
      <text>
        <r>
          <rPr>
            <sz val="11"/>
            <color rgb="FF000000"/>
            <rFont val="Calibri"/>
            <family val="2"/>
            <charset val="204"/>
          </rPr>
          <t>до 20-річного терміну</t>
        </r>
      </text>
    </comment>
    <comment ref="A20" authorId="0" shapeId="0">
      <text>
        <r>
          <rPr>
            <sz val="11"/>
            <color rgb="FF000000"/>
            <rFont val="Calibri"/>
            <family val="2"/>
            <charset val="204"/>
          </rPr>
          <t>Під інтервалом дисконтування розуміється календарний рік. Для врахування неповного інтервалу ставка дисконтування для нього коригується відповідно до кількості днів цього неповного інтервалу.
	-Oleksii Yurchenko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7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B8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8" authorId="0" shapeId="0">
      <text>
        <r>
          <rPr>
            <sz val="11"/>
            <color rgb="FF000000"/>
            <rFont val="Calibri"/>
            <family val="2"/>
            <charset val="204"/>
          </rPr>
          <t>за весь рік</t>
        </r>
      </text>
    </comment>
    <comment ref="B11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11" authorId="0" shapeId="0">
      <text>
        <r>
          <rPr>
            <sz val="11"/>
            <color rgb="FF000000"/>
            <rFont val="Calibri"/>
            <family val="2"/>
            <charset val="204"/>
          </rPr>
          <t>до 20-річного терміну</t>
        </r>
      </text>
    </comment>
    <comment ref="A20" authorId="0" shapeId="0">
      <text>
        <r>
          <rPr>
            <sz val="11"/>
            <color rgb="FF000000"/>
            <rFont val="Calibri"/>
            <family val="2"/>
            <charset val="204"/>
          </rPr>
          <t>Під інтервалом дисконтування розуміється календарний рік. Для врахування неповного інтервалу ставка дисконтування для нього коригується відповідно до кількості днів цього неповного інтервалу.
	-Oleksii Yurchenko</t>
        </r>
      </text>
    </comment>
    <comment ref="B28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B29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29" authorId="0" shapeId="0">
      <text>
        <r>
          <rPr>
            <sz val="11"/>
            <color rgb="FF000000"/>
            <rFont val="Calibri"/>
            <family val="2"/>
            <charset val="204"/>
          </rPr>
          <t>за весь рік</t>
        </r>
      </text>
    </comment>
    <comment ref="B32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32" authorId="0" shapeId="0">
      <text>
        <r>
          <rPr>
            <sz val="11"/>
            <color rgb="FF000000"/>
            <rFont val="Calibri"/>
            <family val="2"/>
            <charset val="204"/>
          </rPr>
          <t>до 20-річного терміну</t>
        </r>
      </text>
    </comment>
    <comment ref="B48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B49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49" authorId="0" shapeId="0">
      <text>
        <r>
          <rPr>
            <sz val="11"/>
            <color rgb="FF000000"/>
            <rFont val="Calibri"/>
            <family val="2"/>
            <charset val="204"/>
          </rPr>
          <t>за весь рік</t>
        </r>
      </text>
    </comment>
    <comment ref="B52" authorId="0" shapeId="0">
      <text>
        <r>
          <rPr>
            <sz val="11"/>
            <color rgb="FF000000"/>
            <rFont val="Calibri"/>
            <family val="2"/>
            <charset val="204"/>
          </rPr>
          <t>до кінця року</t>
        </r>
      </text>
    </comment>
    <comment ref="V52" authorId="0" shapeId="0">
      <text>
        <r>
          <rPr>
            <sz val="11"/>
            <color rgb="FF000000"/>
            <rFont val="Calibri"/>
            <family val="2"/>
            <charset val="204"/>
          </rPr>
          <t>до 20-річного терміну</t>
        </r>
      </text>
    </comment>
  </commentList>
</comments>
</file>

<file path=xl/sharedStrings.xml><?xml version="1.0" encoding="utf-8"?>
<sst xmlns="http://schemas.openxmlformats.org/spreadsheetml/2006/main" count="286" uniqueCount="112">
  <si>
    <t>Дата оголошення</t>
  </si>
  <si>
    <r>
      <t xml:space="preserve">виділено поля, що </t>
    </r>
    <r>
      <rPr>
        <b/>
        <sz val="11"/>
        <rFont val="Calibri"/>
        <family val="2"/>
      </rPr>
      <t>подаються Замовником</t>
    </r>
    <r>
      <rPr>
        <sz val="11"/>
        <color rgb="FF000000"/>
        <rFont val="Calibri"/>
        <family val="2"/>
        <charset val="204"/>
      </rPr>
      <t xml:space="preserve"> (при оголошені закупівлі)</t>
    </r>
  </si>
  <si>
    <t>Період</t>
  </si>
  <si>
    <t>Рік</t>
  </si>
  <si>
    <t>Кількість днів у календарному році</t>
  </si>
  <si>
    <t>Ставка НБУ, %</t>
  </si>
  <si>
    <t>Кількість днів періоду за який подається скорочення витрат замовника</t>
  </si>
  <si>
    <t>Максимальний фіксований відсоток платежів на користь учасника</t>
  </si>
  <si>
    <r>
      <t xml:space="preserve">виділено поля, що </t>
    </r>
    <r>
      <rPr>
        <b/>
        <sz val="11"/>
        <rFont val="Calibri"/>
        <family val="2"/>
      </rPr>
      <t>подаються Учасником при формуванні пропозиції та можуть бути змінені під час аукціону</t>
    </r>
  </si>
  <si>
    <t>Кількість днів періоду для обчислення ставки дисконтування</t>
  </si>
  <si>
    <t>Коефіцієнт дисконтування</t>
  </si>
  <si>
    <t>Ставка дисконтування (згідно з законом)</t>
  </si>
  <si>
    <t>Кількість днів дії пропозиції учасника в відповідному періоді</t>
  </si>
  <si>
    <t>ЦЕД</t>
  </si>
  <si>
    <t>ПЕД</t>
  </si>
  <si>
    <t>Дисконтований дохід Замовника</t>
  </si>
  <si>
    <t>Вихідні дані від замовника:</t>
  </si>
  <si>
    <t>Помісячний розподіл річного базового рівня споживання, Гкал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</si>
  <si>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</si>
  <si>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</si>
  <si>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</si>
  <si>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</si>
  <si>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</si>
  <si>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</si>
  <si>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</si>
  <si>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</si>
  <si>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</si>
  <si>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</si>
  <si>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</si>
  <si>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</si>
  <si>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Тариф на теплову енергію, з ПДВ, грн/Гкал</t>
  </si>
  <si>
    <t>Мінімальний фіксований відсоток платежів на користь учасника</t>
  </si>
  <si>
    <t>Мінімальний крок підвищення показника ефективності енергосервісного договору під час аукціону</t>
  </si>
  <si>
    <t>Вихідні дані від учасника:</t>
  </si>
  <si>
    <t>Фіксований відсоток платежів на користь учасника (МОЖЕ ЗМІНЮВАТИСЬ В ХОДІ АУКЦІОНУ)</t>
  </si>
  <si>
    <t>Період забезпечення економії (надання послуг з енергосервісу)</t>
  </si>
  <si>
    <t>Рівень скорочення споживання теплової енергії, відсотки</t>
  </si>
  <si>
    <t>Термін дії договру, повних днів</t>
  </si>
  <si>
    <t>Рік/місяць</t>
  </si>
  <si>
    <t>Період забезпечення економії (надання послуг з енергосервісу), початкова дата/кінцева дата (включно)</t>
  </si>
  <si>
    <t>Роки</t>
  </si>
  <si>
    <t>Дні</t>
  </si>
  <si>
    <t>Срок дії договору</t>
  </si>
  <si>
    <t>% Фіксований відсоток щорічних платежів на користь Учасника</t>
  </si>
  <si>
    <t>Автоматичний розподіл скорочення витрат Замовника по періодам</t>
  </si>
  <si>
    <t>●</t>
  </si>
  <si>
    <t>Ручний розподіл скорочення витрат Замовника по періодам</t>
  </si>
  <si>
    <t>ОБ'ЄКТ ЕНЕРГОСЕРВІСУ:</t>
  </si>
  <si>
    <t>Скорочення споживання теплової енергії протягом періоду дії договору, Гкал</t>
  </si>
  <si>
    <t>Кінцева дата 21-го періоду</t>
  </si>
  <si>
    <t>Відсоток скорочення споживання теплової енергії від базового рівня,%</t>
  </si>
  <si>
    <t>Загалом</t>
  </si>
  <si>
    <t>Скорочення витрат замовника на теплову енергію протягом дії енергосервісного договору, грн</t>
  </si>
  <si>
    <t>Скорочення витрат замовника на теплову енергію протягом 20-річного періоду з дати оголошення тендеру (для розрахунку ПЕД), грн</t>
  </si>
  <si>
    <t>Термін дії договору (початкова дата/кінцева дата)</t>
  </si>
  <si>
    <t>Термін дії договору, повних років</t>
  </si>
  <si>
    <t>Термін дії договору, днів</t>
  </si>
  <si>
    <t>Річні витрати замовника, що повязані з використанням інших енергоресурсів за результатами впровадження енергосервісного договору, грн/рік</t>
  </si>
  <si>
    <t>Повний період забезпечення економії теплової енергії під час дії договору, днів</t>
  </si>
  <si>
    <t>Витрати замовника, що повязані з використанням інших енергоресурсів за результатами впровадження енергосервісного договору, грн</t>
  </si>
  <si>
    <t>Кількість днів до кінця року від кінцевої дати договору:</t>
  </si>
  <si>
    <t>Скорочення витрат Замовника, тис. грн</t>
  </si>
  <si>
    <t>Різниця (доход Замовника), тис. грн</t>
  </si>
  <si>
    <t>Платежі на користь Учасника, тис. грн</t>
  </si>
  <si>
    <t>1 крок</t>
  </si>
  <si>
    <t>2 крок</t>
  </si>
  <si>
    <t>3 крок</t>
  </si>
  <si>
    <t>Фіксований відсоток платежів на користь учасника на початку аукціону</t>
  </si>
  <si>
    <t>Фіксований відсоток платежів на користь учасника під час аукціону</t>
  </si>
  <si>
    <t>Ціна договору</t>
  </si>
  <si>
    <t>Вихідні дані на початок аукціону</t>
  </si>
  <si>
    <t>Мінімальний крок аукціону</t>
  </si>
  <si>
    <t>ПЕД  підвищено на, тис. грн</t>
  </si>
  <si>
    <t>ПЕД після крокування, тис. грн</t>
  </si>
  <si>
    <t>Ціна договору після крокування, тис. грн</t>
  </si>
  <si>
    <t>Ціна договору знижено на, тис. грн</t>
  </si>
  <si>
    <t>Дисконтований дохід Замовника після кроку, тис. грн</t>
  </si>
  <si>
    <t>Платежі на користь Учасника після кроку, тис. грн</t>
  </si>
  <si>
    <t>Рекомендований відсоток платежів на користь учасника</t>
  </si>
  <si>
    <t>Калькулятор</t>
  </si>
  <si>
    <t>Користуйтеся підказками, що будуть з'являтись!</t>
  </si>
  <si>
    <t>КРОК 1 АУКЦІОНУ</t>
  </si>
  <si>
    <t>КРОК 2 АУКЦІОНУ</t>
  </si>
  <si>
    <t xml:space="preserve">Підберіть новий фіксований відсоток платежів на користь учасника - введіть можливе значення в комірку калькулятора. </t>
  </si>
  <si>
    <t>КРОК 1</t>
  </si>
  <si>
    <t>КРОК 3 АУКЦІОНУ (ОСТАННІЙ)</t>
  </si>
  <si>
    <t>Ваші вихідні дані на початок аукціону (не вносьте зміни!)</t>
  </si>
  <si>
    <t>Підберіть новий фіксований відсоток платежів на користь учасника, вводячи можливе значення в комірку калькулятора</t>
  </si>
  <si>
    <t>КРОК 2</t>
  </si>
  <si>
    <t>КРОК 3</t>
  </si>
  <si>
    <t>Інструкція аукціону:</t>
  </si>
  <si>
    <r>
      <t xml:space="preserve">2. Торги відбуваються шляхом </t>
    </r>
    <r>
      <rPr>
        <b/>
        <sz val="20"/>
        <color rgb="FFFF0000"/>
        <rFont val="Calibri"/>
        <family val="2"/>
        <charset val="204"/>
      </rPr>
      <t>зменшення Фіксованого відсотку</t>
    </r>
    <r>
      <rPr>
        <b/>
        <sz val="20"/>
        <color rgb="FF000000"/>
        <rFont val="Calibri"/>
        <family val="2"/>
        <charset val="204"/>
      </rPr>
      <t xml:space="preserve"> платежів на користь учасника, зазнеченого Вами у тендерній документації. УВАГА! Слідкуйте, щоб Фіксований відсоток не опустився нижче дозволених законом</t>
    </r>
    <r>
      <rPr>
        <b/>
        <sz val="20"/>
        <color rgb="FFFF0000"/>
        <rFont val="Calibri"/>
        <family val="2"/>
        <charset val="204"/>
      </rPr>
      <t xml:space="preserve"> 80%</t>
    </r>
    <r>
      <rPr>
        <b/>
        <sz val="20"/>
        <color rgb="FF000000"/>
        <rFont val="Calibri"/>
        <family val="2"/>
        <charset val="204"/>
      </rPr>
      <t>!</t>
    </r>
  </si>
  <si>
    <r>
      <t xml:space="preserve">3. Ви маєте здійснити свій крок за </t>
    </r>
    <r>
      <rPr>
        <b/>
        <sz val="20"/>
        <color rgb="FFFF0000"/>
        <rFont val="Calibri"/>
        <family val="2"/>
        <charset val="204"/>
      </rPr>
      <t>2 хв.</t>
    </r>
  </si>
  <si>
    <r>
      <t xml:space="preserve">4. При бажанні Ви можете не здійснювати крок і залишити ПЕД без змін. В разі, якщо Ви вирішили здійснити крок, </t>
    </r>
    <r>
      <rPr>
        <b/>
        <sz val="20"/>
        <color rgb="FFFF0000"/>
        <rFont val="Calibri"/>
        <family val="2"/>
        <charset val="204"/>
      </rPr>
      <t>слідкуйте за мінімальним кроком</t>
    </r>
    <r>
      <rPr>
        <b/>
        <sz val="20"/>
        <color rgb="FF000000"/>
        <rFont val="Calibri"/>
        <family val="2"/>
        <charset val="204"/>
      </rPr>
      <t>, який визначений Замовником і зазначений в оголошенні про проведення процедури відкритих торгів.</t>
    </r>
  </si>
  <si>
    <r>
      <t xml:space="preserve">1. Переможець визначається за </t>
    </r>
    <r>
      <rPr>
        <b/>
        <sz val="20"/>
        <color rgb="FF0070C0"/>
        <rFont val="Calibri"/>
        <family val="2"/>
        <charset val="204"/>
      </rPr>
      <t>Показником ефективності енергосервісного договору (ПЕД)</t>
    </r>
    <r>
      <rPr>
        <b/>
        <sz val="20"/>
        <color rgb="FF000000"/>
        <rFont val="Calibri"/>
        <family val="2"/>
        <charset val="204"/>
      </rPr>
      <t xml:space="preserve">, а не за ціною договору. Тобто переможною є пропозиція з </t>
    </r>
    <r>
      <rPr>
        <b/>
        <sz val="20"/>
        <color rgb="FFFF0000"/>
        <rFont val="Calibri"/>
        <family val="2"/>
        <charset val="204"/>
      </rPr>
      <t>найбільшим значенням ПЕД</t>
    </r>
    <r>
      <rPr>
        <b/>
        <sz val="20"/>
        <color rgb="FF000000"/>
        <rFont val="Calibri"/>
        <family val="2"/>
        <charset val="204"/>
      </rPr>
      <t>!</t>
    </r>
  </si>
  <si>
    <t>?</t>
  </si>
  <si>
    <t xml:space="preserve"> </t>
  </si>
  <si>
    <t>Ціна договору,  грн</t>
  </si>
  <si>
    <t>ПЕД,  грн</t>
  </si>
  <si>
    <t xml:space="preserve"> грн</t>
  </si>
  <si>
    <t>Ціна договору після кроку 1,  грн</t>
  </si>
  <si>
    <t>Новий ПЕД після кроку 1, грн</t>
  </si>
  <si>
    <t>Ціна договору після кроку 2,  грн</t>
  </si>
  <si>
    <t>ПЕД після кроку 2, грн</t>
  </si>
  <si>
    <t>грн</t>
  </si>
  <si>
    <t>Ціна договору після кроку 3,  грн</t>
  </si>
  <si>
    <t>ПЕД після кроку 3, грн</t>
  </si>
  <si>
    <t>Введіть в комірку найвище значення ПЕД, запропоноване іншими учасниками під час подачі оголошень (зверніть увагу на одиниці виміру - грн):</t>
  </si>
  <si>
    <t>Введіть в комірку найвище значення ПЕД, запропоноване іншими учасниками під час кроку 1 (зверніть увагу на одиниці виміру -  грн):</t>
  </si>
  <si>
    <t>Введіть в комірку найвище значення ПЕД, запропоноване іншими учасниками під час кроку 2 (зверніть увагу на одиниці виміру -  грн):</t>
  </si>
  <si>
    <t>Додато 1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</si>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</sst>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%"/>
    <numFmt numFmtId="165" formatCode="0.0000"/>
    <numFmt numFmtId="166" formatCode="0.000"/>
    <numFmt numFmtId="167" formatCode="0.0000000000"/>
    <numFmt numFmtId="168" formatCode="0.0%"/>
    <numFmt numFmtId="169" formatCode="#,##0.000"/>
  </numFmts>
  <fonts count="39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FFFFFF"/>
      <name val="Calibri"/>
      <family val="2"/>
    </font>
    <font>
      <sz val="14"/>
      <color rgb="FF000000"/>
      <name val="Calibri"/>
      <family val="2"/>
    </font>
    <font>
      <b/>
      <sz val="24"/>
      <name val="Calibri"/>
      <family val="2"/>
    </font>
    <font>
      <sz val="14"/>
      <color rgb="FF6AA84F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i/>
      <u/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4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7"/>
      <color rgb="FF000000"/>
      <name val="Calibri"/>
      <family val="2"/>
      <charset val="204"/>
    </font>
    <font>
      <sz val="16"/>
      <color rgb="FF000000"/>
      <name val="Calibri"/>
      <family val="2"/>
    </font>
    <font>
      <b/>
      <sz val="16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sz val="16"/>
      <color theme="0" tint="-0.499984740745262"/>
      <name val="Calibri"/>
      <family val="2"/>
      <charset val="204"/>
    </font>
    <font>
      <sz val="16"/>
      <color theme="0" tint="-0.499984740745262"/>
      <name val="Calibri"/>
      <family val="2"/>
      <charset val="204"/>
    </font>
    <font>
      <b/>
      <sz val="20"/>
      <color rgb="FF00B050"/>
      <name val="Calibri"/>
      <family val="2"/>
      <charset val="204"/>
    </font>
    <font>
      <sz val="48"/>
      <color rgb="FFFF0000"/>
      <name val="Calibri"/>
      <family val="2"/>
      <charset val="204"/>
    </font>
    <font>
      <b/>
      <sz val="36"/>
      <color rgb="FF000000"/>
      <name val="Calibri"/>
      <family val="2"/>
      <charset val="204"/>
    </font>
    <font>
      <b/>
      <sz val="36"/>
      <color rgb="FF0070C0"/>
      <name val="Calibri"/>
      <family val="2"/>
      <charset val="204"/>
    </font>
    <font>
      <sz val="22"/>
      <color theme="0" tint="-0.499984740745262"/>
      <name val="Calibri"/>
      <family val="2"/>
      <charset val="204"/>
    </font>
    <font>
      <b/>
      <sz val="16"/>
      <name val="Calibri"/>
      <family val="2"/>
      <charset val="204"/>
    </font>
    <font>
      <sz val="18"/>
      <name val="Calibri"/>
      <family val="2"/>
      <charset val="204"/>
    </font>
    <font>
      <b/>
      <sz val="20"/>
      <color rgb="FFFF0000"/>
      <name val="Calibri"/>
      <family val="2"/>
      <charset val="204"/>
    </font>
    <font>
      <sz val="28"/>
      <color rgb="FF000000"/>
      <name val="Calibri"/>
      <family val="2"/>
      <charset val="204"/>
    </font>
    <font>
      <b/>
      <sz val="20"/>
      <color rgb="FF0070C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38761D"/>
        <bgColor rgb="FF38761D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FF00"/>
        <bgColor rgb="FF38761D"/>
      </patternFill>
    </fill>
    <fill>
      <patternFill patternType="solid">
        <fgColor rgb="FFFFC000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rgb="FF92D050"/>
      </patternFill>
    </fill>
    <fill>
      <patternFill patternType="solid">
        <fgColor rgb="FFFFC000"/>
        <bgColor rgb="FF38761D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7" fillId="0" borderId="2"/>
    <xf numFmtId="9" fontId="7" fillId="0" borderId="2" applyFont="0" applyFill="0" applyBorder="0" applyAlignment="0" applyProtection="0"/>
    <xf numFmtId="0" fontId="7" fillId="0" borderId="2"/>
    <xf numFmtId="0" fontId="7" fillId="0" borderId="2"/>
    <xf numFmtId="0" fontId="7" fillId="0" borderId="2"/>
    <xf numFmtId="0" fontId="17" fillId="0" borderId="2"/>
  </cellStyleXfs>
  <cellXfs count="216">
    <xf numFmtId="0" fontId="0" fillId="0" borderId="0" xfId="0" applyFont="1" applyAlignment="1"/>
    <xf numFmtId="0" fontId="0" fillId="0" borderId="0" xfId="0" applyFont="1" applyAlignment="1"/>
    <xf numFmtId="4" fontId="1" fillId="0" borderId="0" xfId="0" applyNumberFormat="1" applyFont="1"/>
    <xf numFmtId="0" fontId="0" fillId="2" borderId="1" xfId="0" applyFont="1" applyFill="1" applyBorder="1" applyAlignment="1"/>
    <xf numFmtId="0" fontId="0" fillId="3" borderId="2" xfId="0" applyFont="1" applyFill="1" applyBorder="1" applyAlignment="1"/>
    <xf numFmtId="0" fontId="0" fillId="0" borderId="0" xfId="0" applyFont="1" applyAlignment="1"/>
    <xf numFmtId="14" fontId="0" fillId="0" borderId="0" xfId="0" applyNumberFormat="1" applyFont="1" applyAlignment="1"/>
    <xf numFmtId="0" fontId="0" fillId="2" borderId="1" xfId="0" applyFont="1" applyFill="1" applyBorder="1" applyAlignment="1"/>
    <xf numFmtId="4" fontId="1" fillId="0" borderId="0" xfId="0" applyNumberFormat="1" applyFont="1" applyAlignment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1" fontId="0" fillId="4" borderId="5" xfId="0" applyNumberFormat="1" applyFont="1" applyFill="1" applyBorder="1" applyAlignment="1"/>
    <xf numFmtId="2" fontId="2" fillId="3" borderId="1" xfId="0" applyNumberFormat="1" applyFont="1" applyFill="1" applyBorder="1" applyAlignment="1"/>
    <xf numFmtId="2" fontId="2" fillId="3" borderId="1" xfId="0" applyNumberFormat="1" applyFont="1" applyFill="1" applyBorder="1" applyAlignment="1"/>
    <xf numFmtId="0" fontId="0" fillId="0" borderId="0" xfId="0" applyFont="1" applyAlignment="1"/>
    <xf numFmtId="1" fontId="0" fillId="2" borderId="1" xfId="0" applyNumberFormat="1" applyFont="1" applyFill="1" applyBorder="1" applyAlignment="1"/>
    <xf numFmtId="1" fontId="0" fillId="4" borderId="1" xfId="0" applyNumberFormat="1" applyFont="1" applyFill="1" applyBorder="1" applyAlignment="1"/>
    <xf numFmtId="164" fontId="0" fillId="4" borderId="7" xfId="0" applyNumberFormat="1" applyFont="1" applyFill="1" applyBorder="1" applyAlignment="1"/>
    <xf numFmtId="166" fontId="0" fillId="4" borderId="5" xfId="0" applyNumberFormat="1" applyFont="1" applyFill="1" applyBorder="1" applyAlignment="1"/>
    <xf numFmtId="0" fontId="3" fillId="0" borderId="0" xfId="0" applyFont="1" applyAlignment="1">
      <alignment horizontal="right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/>
    <xf numFmtId="2" fontId="4" fillId="6" borderId="1" xfId="0" applyNumberFormat="1" applyFont="1" applyFill="1" applyBorder="1" applyAlignment="1"/>
    <xf numFmtId="2" fontId="0" fillId="4" borderId="7" xfId="0" applyNumberFormat="1" applyFont="1" applyFill="1" applyBorder="1" applyAlignment="1"/>
    <xf numFmtId="166" fontId="0" fillId="4" borderId="1" xfId="0" applyNumberFormat="1" applyFont="1" applyFill="1" applyBorder="1" applyAlignment="1"/>
    <xf numFmtId="167" fontId="4" fillId="6" borderId="1" xfId="0" applyNumberFormat="1" applyFont="1" applyFill="1" applyBorder="1" applyAlignment="1"/>
    <xf numFmtId="1" fontId="0" fillId="0" borderId="0" xfId="0" applyNumberFormat="1" applyFont="1" applyAlignment="1"/>
    <xf numFmtId="0" fontId="5" fillId="0" borderId="0" xfId="0" applyFont="1" applyAlignment="1"/>
    <xf numFmtId="2" fontId="0" fillId="0" borderId="0" xfId="0" applyNumberFormat="1" applyFont="1" applyAlignment="1"/>
    <xf numFmtId="1" fontId="0" fillId="0" borderId="0" xfId="0" applyNumberFormat="1" applyFont="1" applyAlignment="1"/>
    <xf numFmtId="167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0" fillId="8" borderId="8" xfId="0" applyFont="1" applyFill="1" applyBorder="1" applyAlignment="1"/>
    <xf numFmtId="0" fontId="8" fillId="7" borderId="0" xfId="0" applyFont="1" applyFill="1" applyAlignment="1"/>
    <xf numFmtId="0" fontId="0" fillId="0" borderId="2" xfId="0" applyFont="1" applyBorder="1" applyAlignment="1"/>
    <xf numFmtId="0" fontId="0" fillId="2" borderId="11" xfId="0" applyFont="1" applyFill="1" applyBorder="1" applyAlignment="1">
      <alignment wrapText="1"/>
    </xf>
    <xf numFmtId="0" fontId="10" fillId="3" borderId="8" xfId="0" applyFont="1" applyFill="1" applyBorder="1" applyAlignment="1"/>
    <xf numFmtId="9" fontId="10" fillId="3" borderId="8" xfId="1" applyFont="1" applyFill="1" applyBorder="1" applyAlignment="1"/>
    <xf numFmtId="0" fontId="0" fillId="2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2" borderId="3" xfId="0" applyFont="1" applyFill="1" applyBorder="1" applyAlignment="1"/>
    <xf numFmtId="0" fontId="9" fillId="2" borderId="1" xfId="0" applyFont="1" applyFill="1" applyBorder="1" applyAlignment="1"/>
    <xf numFmtId="14" fontId="2" fillId="3" borderId="6" xfId="0" applyNumberFormat="1" applyFont="1" applyFill="1" applyBorder="1" applyAlignment="1"/>
    <xf numFmtId="0" fontId="14" fillId="0" borderId="8" xfId="0" applyFont="1" applyFill="1" applyBorder="1" applyAlignment="1"/>
    <xf numFmtId="0" fontId="15" fillId="0" borderId="0" xfId="0" applyFont="1" applyAlignment="1">
      <alignment horizontal="center" vertical="center"/>
    </xf>
    <xf numFmtId="9" fontId="0" fillId="0" borderId="0" xfId="1" applyFont="1" applyAlignment="1"/>
    <xf numFmtId="0" fontId="0" fillId="0" borderId="0" xfId="0" applyNumberFormat="1" applyFont="1" applyAlignment="1"/>
    <xf numFmtId="0" fontId="15" fillId="0" borderId="8" xfId="0" applyFont="1" applyBorder="1" applyAlignment="1">
      <alignment horizontal="center" vertical="center"/>
    </xf>
    <xf numFmtId="0" fontId="7" fillId="2" borderId="3" xfId="0" applyFont="1" applyFill="1" applyBorder="1" applyAlignment="1"/>
    <xf numFmtId="4" fontId="0" fillId="0" borderId="8" xfId="0" applyNumberFormat="1" applyFont="1" applyBorder="1" applyAlignment="1"/>
    <xf numFmtId="0" fontId="0" fillId="0" borderId="0" xfId="0" applyFont="1" applyAlignment="1"/>
    <xf numFmtId="0" fontId="17" fillId="0" borderId="2" xfId="7" applyFont="1"/>
    <xf numFmtId="0" fontId="17" fillId="0" borderId="13" xfId="7" applyFont="1" applyBorder="1"/>
    <xf numFmtId="0" fontId="17" fillId="0" borderId="14" xfId="7" applyFont="1" applyBorder="1"/>
    <xf numFmtId="0" fontId="17" fillId="0" borderId="15" xfId="7" applyFont="1" applyBorder="1"/>
    <xf numFmtId="0" fontId="17" fillId="0" borderId="16" xfId="7" applyFont="1" applyBorder="1"/>
    <xf numFmtId="0" fontId="17" fillId="0" borderId="2" xfId="7" applyFont="1" applyBorder="1"/>
    <xf numFmtId="0" fontId="17" fillId="0" borderId="17" xfId="7" applyFont="1" applyBorder="1"/>
    <xf numFmtId="0" fontId="17" fillId="0" borderId="18" xfId="7" applyFont="1" applyBorder="1"/>
    <xf numFmtId="0" fontId="16" fillId="0" borderId="18" xfId="7" applyFont="1" applyBorder="1" applyAlignment="1">
      <alignment horizontal="center"/>
    </xf>
    <xf numFmtId="0" fontId="17" fillId="0" borderId="18" xfId="7" applyFont="1" applyBorder="1" applyAlignment="1">
      <alignment horizontal="center"/>
    </xf>
    <xf numFmtId="0" fontId="17" fillId="0" borderId="22" xfId="7" applyFont="1" applyBorder="1"/>
    <xf numFmtId="0" fontId="17" fillId="0" borderId="23" xfId="7" applyFont="1" applyBorder="1"/>
    <xf numFmtId="0" fontId="17" fillId="0" borderId="24" xfId="7" applyFont="1" applyBorder="1"/>
    <xf numFmtId="9" fontId="17" fillId="0" borderId="18" xfId="1" applyFont="1" applyBorder="1" applyAlignment="1">
      <alignment horizontal="center"/>
    </xf>
    <xf numFmtId="0" fontId="0" fillId="0" borderId="0" xfId="0" applyFont="1" applyAlignme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/>
    <xf numFmtId="0" fontId="7" fillId="0" borderId="0" xfId="0" applyFont="1" applyAlignment="1"/>
    <xf numFmtId="168" fontId="15" fillId="0" borderId="8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 applyAlignment="1"/>
    <xf numFmtId="168" fontId="2" fillId="3" borderId="1" xfId="0" applyNumberFormat="1" applyFont="1" applyFill="1" applyBorder="1" applyAlignment="1"/>
    <xf numFmtId="9" fontId="2" fillId="3" borderId="8" xfId="0" applyNumberFormat="1" applyFont="1" applyFill="1" applyBorder="1" applyAlignment="1"/>
    <xf numFmtId="0" fontId="18" fillId="0" borderId="0" xfId="0" applyFont="1" applyAlignment="1"/>
    <xf numFmtId="0" fontId="14" fillId="0" borderId="8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" fontId="0" fillId="0" borderId="2" xfId="0" applyNumberFormat="1" applyFont="1" applyBorder="1" applyAlignment="1"/>
    <xf numFmtId="4" fontId="20" fillId="9" borderId="2" xfId="0" applyNumberFormat="1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15" fillId="0" borderId="8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2" borderId="3" xfId="0" applyFont="1" applyFill="1" applyBorder="1" applyAlignment="1">
      <alignment wrapText="1"/>
    </xf>
    <xf numFmtId="4" fontId="19" fillId="0" borderId="8" xfId="0" applyNumberFormat="1" applyFont="1" applyBorder="1" applyAlignment="1">
      <alignment horizontal="center" vertical="center"/>
    </xf>
    <xf numFmtId="4" fontId="20" fillId="9" borderId="8" xfId="0" applyNumberFormat="1" applyFont="1" applyFill="1" applyBorder="1" applyAlignment="1">
      <alignment horizontal="center" vertical="center"/>
    </xf>
    <xf numFmtId="4" fontId="0" fillId="0" borderId="8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" fontId="0" fillId="0" borderId="8" xfId="0" applyNumberFormat="1" applyFont="1" applyBorder="1" applyAlignment="1">
      <alignment horizontal="center" vertical="center"/>
    </xf>
    <xf numFmtId="0" fontId="22" fillId="0" borderId="0" xfId="0" applyFont="1" applyFill="1" applyAlignment="1"/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 wrapText="1"/>
    </xf>
    <xf numFmtId="0" fontId="24" fillId="0" borderId="0" xfId="0" applyFont="1" applyAlignment="1"/>
    <xf numFmtId="0" fontId="25" fillId="13" borderId="8" xfId="0" applyFont="1" applyFill="1" applyBorder="1" applyAlignment="1">
      <alignment horizontal="center" vertical="center"/>
    </xf>
    <xf numFmtId="2" fontId="25" fillId="9" borderId="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9" fontId="25" fillId="3" borderId="8" xfId="1" applyFont="1" applyFill="1" applyBorder="1" applyAlignment="1">
      <alignment horizontal="center" vertical="center"/>
    </xf>
    <xf numFmtId="9" fontId="25" fillId="5" borderId="8" xfId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9" fontId="25" fillId="11" borderId="8" xfId="1" applyFont="1" applyFill="1" applyBorder="1" applyAlignment="1">
      <alignment horizontal="center" vertical="center"/>
    </xf>
    <xf numFmtId="9" fontId="25" fillId="11" borderId="8" xfId="1" applyFont="1" applyFill="1" applyBorder="1" applyAlignment="1">
      <alignment horizontal="center" vertical="center" wrapText="1"/>
    </xf>
    <xf numFmtId="9" fontId="25" fillId="0" borderId="2" xfId="1" applyFont="1" applyFill="1" applyBorder="1" applyAlignment="1">
      <alignment horizontal="center" vertical="center" wrapText="1"/>
    </xf>
    <xf numFmtId="0" fontId="25" fillId="0" borderId="2" xfId="1" applyNumberFormat="1" applyFont="1" applyFill="1" applyBorder="1" applyAlignment="1">
      <alignment horizontal="center" vertical="center"/>
    </xf>
    <xf numFmtId="1" fontId="0" fillId="8" borderId="8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2" fontId="25" fillId="0" borderId="2" xfId="0" applyNumberFormat="1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/>
    </xf>
    <xf numFmtId="165" fontId="0" fillId="0" borderId="8" xfId="1" applyNumberFormat="1" applyFont="1" applyBorder="1" applyAlignment="1">
      <alignment horizontal="center" vertical="center"/>
    </xf>
    <xf numFmtId="0" fontId="25" fillId="13" borderId="8" xfId="0" applyFont="1" applyFill="1" applyBorder="1" applyAlignment="1">
      <alignment horizontal="center" vertical="center" wrapText="1"/>
    </xf>
    <xf numFmtId="9" fontId="25" fillId="9" borderId="8" xfId="1" applyFont="1" applyFill="1" applyBorder="1" applyAlignment="1">
      <alignment horizontal="center" vertical="center"/>
    </xf>
    <xf numFmtId="9" fontId="25" fillId="15" borderId="8" xfId="1" applyFont="1" applyFill="1" applyBorder="1" applyAlignment="1">
      <alignment horizontal="center" vertical="center" wrapText="1"/>
    </xf>
    <xf numFmtId="10" fontId="25" fillId="10" borderId="8" xfId="1" applyNumberFormat="1" applyFont="1" applyFill="1" applyBorder="1" applyAlignment="1">
      <alignment horizontal="center" vertical="center"/>
    </xf>
    <xf numFmtId="2" fontId="24" fillId="0" borderId="0" xfId="0" applyNumberFormat="1" applyFont="1" applyAlignment="1"/>
    <xf numFmtId="168" fontId="24" fillId="0" borderId="0" xfId="1" applyNumberFormat="1" applyFont="1" applyAlignment="1"/>
    <xf numFmtId="169" fontId="25" fillId="14" borderId="8" xfId="1" applyNumberFormat="1" applyFont="1" applyFill="1" applyBorder="1" applyAlignment="1">
      <alignment horizontal="center" vertical="center"/>
    </xf>
    <xf numFmtId="4" fontId="25" fillId="9" borderId="8" xfId="0" applyNumberFormat="1" applyFont="1" applyFill="1" applyBorder="1" applyAlignment="1">
      <alignment horizontal="center" vertical="center"/>
    </xf>
    <xf numFmtId="169" fontId="24" fillId="0" borderId="2" xfId="0" applyNumberFormat="1" applyFont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0" fontId="28" fillId="2" borderId="28" xfId="0" applyFont="1" applyFill="1" applyBorder="1" applyAlignment="1">
      <alignment horizontal="center" vertical="center" wrapText="1"/>
    </xf>
    <xf numFmtId="0" fontId="28" fillId="8" borderId="28" xfId="0" applyFont="1" applyFill="1" applyBorder="1" applyAlignment="1">
      <alignment horizontal="center" vertical="center" wrapText="1"/>
    </xf>
    <xf numFmtId="0" fontId="28" fillId="8" borderId="28" xfId="0" applyFont="1" applyFill="1" applyBorder="1" applyAlignment="1">
      <alignment horizontal="center" vertical="center"/>
    </xf>
    <xf numFmtId="9" fontId="28" fillId="0" borderId="2" xfId="0" applyNumberFormat="1" applyFont="1" applyBorder="1" applyAlignment="1">
      <alignment horizontal="center"/>
    </xf>
    <xf numFmtId="9" fontId="28" fillId="0" borderId="2" xfId="1" applyFont="1" applyBorder="1" applyAlignment="1">
      <alignment horizontal="center"/>
    </xf>
    <xf numFmtId="169" fontId="28" fillId="0" borderId="2" xfId="0" applyNumberFormat="1" applyFont="1" applyBorder="1" applyAlignment="1">
      <alignment horizontal="center"/>
    </xf>
    <xf numFmtId="0" fontId="31" fillId="0" borderId="18" xfId="0" applyFont="1" applyBorder="1" applyAlignment="1">
      <alignment horizontal="center" vertical="center"/>
    </xf>
    <xf numFmtId="0" fontId="24" fillId="0" borderId="2" xfId="0" applyFont="1" applyBorder="1" applyAlignment="1"/>
    <xf numFmtId="2" fontId="24" fillId="0" borderId="2" xfId="0" applyNumberFormat="1" applyFont="1" applyBorder="1" applyAlignment="1"/>
    <xf numFmtId="0" fontId="24" fillId="0" borderId="14" xfId="0" applyFont="1" applyBorder="1" applyAlignment="1"/>
    <xf numFmtId="2" fontId="24" fillId="0" borderId="14" xfId="0" applyNumberFormat="1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7" xfId="0" applyFont="1" applyBorder="1" applyAlignment="1"/>
    <xf numFmtId="0" fontId="0" fillId="0" borderId="16" xfId="0" applyFont="1" applyBorder="1" applyAlignment="1"/>
    <xf numFmtId="2" fontId="24" fillId="0" borderId="23" xfId="0" applyNumberFormat="1" applyFont="1" applyBorder="1" applyAlignment="1"/>
    <xf numFmtId="0" fontId="24" fillId="0" borderId="23" xfId="0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9" fontId="33" fillId="0" borderId="28" xfId="1" applyFont="1" applyBorder="1" applyAlignment="1">
      <alignment horizontal="center"/>
    </xf>
    <xf numFmtId="169" fontId="33" fillId="0" borderId="28" xfId="0" applyNumberFormat="1" applyFont="1" applyBorder="1" applyAlignment="1">
      <alignment horizontal="center"/>
    </xf>
    <xf numFmtId="168" fontId="24" fillId="0" borderId="2" xfId="1" applyNumberFormat="1" applyFont="1" applyFill="1" applyBorder="1" applyAlignment="1"/>
    <xf numFmtId="2" fontId="24" fillId="0" borderId="2" xfId="0" applyNumberFormat="1" applyFont="1" applyFill="1" applyBorder="1" applyAlignment="1"/>
    <xf numFmtId="0" fontId="24" fillId="0" borderId="2" xfId="0" applyFont="1" applyFill="1" applyBorder="1" applyAlignment="1"/>
    <xf numFmtId="0" fontId="0" fillId="0" borderId="2" xfId="0" applyFont="1" applyFill="1" applyBorder="1" applyAlignment="1"/>
    <xf numFmtId="0" fontId="30" fillId="0" borderId="14" xfId="0" applyFont="1" applyBorder="1" applyAlignment="1"/>
    <xf numFmtId="0" fontId="26" fillId="0" borderId="2" xfId="0" applyFont="1" applyBorder="1" applyAlignment="1"/>
    <xf numFmtId="10" fontId="24" fillId="0" borderId="2" xfId="0" applyNumberFormat="1" applyFont="1" applyBorder="1" applyAlignment="1">
      <alignment horizontal="center"/>
    </xf>
    <xf numFmtId="168" fontId="24" fillId="0" borderId="23" xfId="1" applyNumberFormat="1" applyFont="1" applyBorder="1" applyAlignment="1"/>
    <xf numFmtId="0" fontId="26" fillId="0" borderId="2" xfId="0" applyFont="1" applyBorder="1" applyAlignment="1">
      <alignment vertical="center"/>
    </xf>
    <xf numFmtId="0" fontId="0" fillId="0" borderId="13" xfId="0" applyFont="1" applyBorder="1" applyAlignment="1"/>
    <xf numFmtId="0" fontId="0" fillId="0" borderId="22" xfId="0" applyFont="1" applyBorder="1" applyAlignment="1"/>
    <xf numFmtId="169" fontId="35" fillId="0" borderId="29" xfId="0" applyNumberFormat="1" applyFont="1" applyBorder="1" applyAlignment="1">
      <alignment horizontal="center" vertical="center"/>
    </xf>
    <xf numFmtId="166" fontId="35" fillId="0" borderId="28" xfId="0" applyNumberFormat="1" applyFont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 wrapText="1"/>
    </xf>
    <xf numFmtId="0" fontId="35" fillId="8" borderId="28" xfId="0" applyFont="1" applyFill="1" applyBorder="1" applyAlignment="1">
      <alignment horizontal="center" vertical="center" wrapText="1"/>
    </xf>
    <xf numFmtId="168" fontId="24" fillId="0" borderId="0" xfId="1" applyNumberFormat="1" applyFont="1" applyFill="1" applyAlignment="1"/>
    <xf numFmtId="2" fontId="24" fillId="0" borderId="0" xfId="0" applyNumberFormat="1" applyFont="1" applyFill="1" applyAlignment="1"/>
    <xf numFmtId="0" fontId="24" fillId="0" borderId="0" xfId="0" applyFont="1" applyFill="1" applyAlignment="1"/>
    <xf numFmtId="0" fontId="37" fillId="0" borderId="0" xfId="0" applyFont="1" applyAlignment="1"/>
    <xf numFmtId="164" fontId="32" fillId="0" borderId="18" xfId="0" applyNumberFormat="1" applyFont="1" applyBorder="1" applyAlignment="1">
      <alignment horizontal="center"/>
    </xf>
    <xf numFmtId="0" fontId="0" fillId="10" borderId="2" xfId="0" applyFont="1" applyFill="1" applyBorder="1" applyAlignment="1"/>
    <xf numFmtId="14" fontId="0" fillId="8" borderId="8" xfId="0" applyNumberFormat="1" applyFont="1" applyFill="1" applyBorder="1" applyAlignment="1">
      <alignment horizontal="right" vertical="center"/>
    </xf>
    <xf numFmtId="0" fontId="0" fillId="10" borderId="1" xfId="0" applyFont="1" applyFill="1" applyBorder="1" applyAlignment="1">
      <alignment horizontal="right" vertical="center"/>
    </xf>
    <xf numFmtId="0" fontId="0" fillId="10" borderId="6" xfId="0" applyFont="1" applyFill="1" applyBorder="1" applyAlignment="1">
      <alignment horizontal="right" vertical="center"/>
    </xf>
    <xf numFmtId="0" fontId="0" fillId="12" borderId="9" xfId="0" applyFont="1" applyFill="1" applyBorder="1" applyAlignment="1">
      <alignment horizontal="right" vertical="center"/>
    </xf>
    <xf numFmtId="14" fontId="0" fillId="9" borderId="8" xfId="0" applyNumberFormat="1" applyFont="1" applyFill="1" applyBorder="1" applyAlignment="1">
      <alignment horizontal="right" vertical="center"/>
    </xf>
    <xf numFmtId="14" fontId="7" fillId="8" borderId="8" xfId="0" applyNumberFormat="1" applyFont="1" applyFill="1" applyBorder="1" applyAlignment="1">
      <alignment horizontal="right" vertical="center"/>
    </xf>
    <xf numFmtId="0" fontId="7" fillId="9" borderId="8" xfId="0" applyNumberFormat="1" applyFont="1" applyFill="1" applyBorder="1" applyAlignment="1">
      <alignment horizontal="right" vertical="center"/>
    </xf>
    <xf numFmtId="9" fontId="0" fillId="9" borderId="25" xfId="0" applyNumberFormat="1" applyFont="1" applyFill="1" applyBorder="1" applyAlignment="1">
      <alignment horizontal="right" vertical="center"/>
    </xf>
    <xf numFmtId="0" fontId="0" fillId="9" borderId="8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8" xfId="0" applyNumberFormat="1" applyFont="1" applyBorder="1" applyAlignment="1">
      <alignment horizontal="center"/>
    </xf>
    <xf numFmtId="168" fontId="10" fillId="3" borderId="12" xfId="1" applyNumberFormat="1" applyFont="1" applyFill="1" applyBorder="1" applyAlignment="1"/>
    <xf numFmtId="168" fontId="25" fillId="10" borderId="8" xfId="0" applyNumberFormat="1" applyFont="1" applyFill="1" applyBorder="1" applyAlignment="1">
      <alignment horizontal="right" vertical="center"/>
    </xf>
    <xf numFmtId="168" fontId="33" fillId="0" borderId="28" xfId="0" applyNumberFormat="1" applyFont="1" applyBorder="1" applyAlignment="1">
      <alignment horizontal="center"/>
    </xf>
    <xf numFmtId="4" fontId="15" fillId="16" borderId="8" xfId="0" applyNumberFormat="1" applyFont="1" applyFill="1" applyBorder="1" applyAlignment="1">
      <alignment horizontal="center" vertical="center"/>
    </xf>
    <xf numFmtId="168" fontId="15" fillId="16" borderId="8" xfId="1" applyNumberFormat="1" applyFont="1" applyFill="1" applyBorder="1" applyAlignment="1">
      <alignment horizontal="center" vertical="center"/>
    </xf>
    <xf numFmtId="0" fontId="0" fillId="16" borderId="0" xfId="0" applyFont="1" applyFill="1" applyAlignment="1"/>
    <xf numFmtId="0" fontId="10" fillId="3" borderId="8" xfId="2" applyFont="1" applyFill="1" applyBorder="1" applyAlignment="1"/>
    <xf numFmtId="166" fontId="10" fillId="3" borderId="8" xfId="2" applyNumberFormat="1" applyFont="1" applyFill="1" applyBorder="1" applyAlignment="1"/>
    <xf numFmtId="0" fontId="12" fillId="0" borderId="0" xfId="0" applyFont="1" applyAlignment="1">
      <alignment horizontal="center" vertical="center" wrapText="1"/>
    </xf>
    <xf numFmtId="0" fontId="0" fillId="2" borderId="1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13" fillId="0" borderId="10" xfId="0" applyFont="1" applyFill="1" applyBorder="1" applyAlignment="1">
      <alignment horizontal="left" vertical="center" wrapText="1"/>
    </xf>
    <xf numFmtId="4" fontId="20" fillId="9" borderId="2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4" fontId="20" fillId="9" borderId="8" xfId="0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14" fontId="0" fillId="2" borderId="3" xfId="0" applyNumberFormat="1" applyFont="1" applyFill="1" applyBorder="1" applyAlignment="1"/>
    <xf numFmtId="14" fontId="1" fillId="0" borderId="4" xfId="0" applyNumberFormat="1" applyFont="1" applyBorder="1"/>
    <xf numFmtId="2" fontId="17" fillId="0" borderId="19" xfId="7" applyNumberFormat="1" applyFont="1" applyBorder="1" applyAlignment="1">
      <alignment horizontal="center"/>
    </xf>
    <xf numFmtId="0" fontId="17" fillId="0" borderId="20" xfId="7" applyFont="1" applyBorder="1" applyAlignment="1">
      <alignment horizontal="center"/>
    </xf>
    <xf numFmtId="0" fontId="17" fillId="0" borderId="21" xfId="7" applyFont="1" applyBorder="1" applyAlignment="1">
      <alignment horizontal="center"/>
    </xf>
    <xf numFmtId="0" fontId="23" fillId="12" borderId="27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0" fontId="27" fillId="9" borderId="28" xfId="0" applyFont="1" applyFill="1" applyBorder="1" applyAlignment="1">
      <alignment horizontal="center"/>
    </xf>
    <xf numFmtId="0" fontId="34" fillId="9" borderId="30" xfId="0" applyFont="1" applyFill="1" applyBorder="1" applyAlignment="1">
      <alignment horizontal="center"/>
    </xf>
    <xf numFmtId="0" fontId="34" fillId="9" borderId="28" xfId="0" applyFont="1" applyFill="1" applyBorder="1" applyAlignment="1">
      <alignment horizontal="center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wrapText="1"/>
    </xf>
    <xf numFmtId="0" fontId="26" fillId="0" borderId="0" xfId="0" applyFont="1" applyAlignment="1">
      <alignment horizontal="center"/>
    </xf>
  </cellXfs>
  <cellStyles count="8">
    <cellStyle name="Обычный" xfId="0" builtinId="0"/>
    <cellStyle name="Обычный 2" xfId="2"/>
    <cellStyle name="Обычный 3" xfId="4"/>
    <cellStyle name="Обычный 4" xfId="5"/>
    <cellStyle name="Обычный 5" xfId="6"/>
    <cellStyle name="Обычный 6" xfId="7"/>
    <cellStyle name="Процентный" xfId="1" builtinId="5"/>
    <cellStyle name="Процентный 2" xfId="3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strike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666750</xdr:colOff>
      <xdr:row>36</xdr:row>
      <xdr:rowOff>47625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34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666750</xdr:colOff>
      <xdr:row>36</xdr:row>
      <xdr:rowOff>47625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34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666750</xdr:colOff>
      <xdr:row>36</xdr:row>
      <xdr:rowOff>47625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334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666750</xdr:colOff>
      <xdr:row>38</xdr:row>
      <xdr:rowOff>47625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48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411480</xdr:colOff>
      <xdr:row>41</xdr:row>
      <xdr:rowOff>15240</xdr:rowOff>
    </xdr:to>
    <xdr:sp macro="" textlink="">
      <xdr:nvSpPr>
        <xdr:cNvPr id="10" name="AutoShap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4505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60960</xdr:colOff>
      <xdr:row>52</xdr:row>
      <xdr:rowOff>175260</xdr:rowOff>
    </xdr:to>
    <xdr:sp macro="" textlink="">
      <xdr:nvSpPr>
        <xdr:cNvPr id="1032" name="Rectangle 8" hidden="1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76200</xdr:colOff>
      <xdr:row>78</xdr:row>
      <xdr:rowOff>38100</xdr:rowOff>
    </xdr:to>
    <xdr:sp macro="" textlink="">
      <xdr:nvSpPr>
        <xdr:cNvPr id="2" name="Rectangle 8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60960</xdr:colOff>
      <xdr:row>52</xdr:row>
      <xdr:rowOff>175260</xdr:rowOff>
    </xdr:to>
    <xdr:sp macro="" textlink="">
      <xdr:nvSpPr>
        <xdr:cNvPr id="3" name="Rectangle 8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59</xdr:row>
      <xdr:rowOff>95250</xdr:rowOff>
    </xdr:to>
    <xdr:sp macro="" textlink="">
      <xdr:nvSpPr>
        <xdr:cNvPr id="4" name="Rectangle 8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U989"/>
  <sheetViews>
    <sheetView showGridLines="0" tabSelected="1" workbookViewId="0">
      <selection activeCell="G28" sqref="G28"/>
    </sheetView>
  </sheetViews>
  <sheetFormatPr defaultColWidth="14.42578125" defaultRowHeight="15" customHeight="1" x14ac:dyDescent="0.25"/>
  <cols>
    <col min="1" max="1" width="96.7109375" customWidth="1"/>
    <col min="2" max="2" width="20.7109375" customWidth="1"/>
    <col min="3" max="3" width="15.28515625" customWidth="1"/>
    <col min="4" max="4" width="14.7109375" customWidth="1"/>
    <col min="5" max="26" width="8.7109375" customWidth="1"/>
  </cols>
  <sheetData>
    <row r="1" spans="1:14" ht="15" customHeight="1" x14ac:dyDescent="0.25">
      <c r="A1" s="40" t="s">
        <v>47</v>
      </c>
      <c r="B1" s="1"/>
      <c r="C1" s="1"/>
      <c r="F1" s="2"/>
    </row>
    <row r="2" spans="1:14" ht="18" customHeight="1" x14ac:dyDescent="0.25">
      <c r="A2" s="189"/>
    </row>
    <row r="3" spans="1:14" ht="21" customHeight="1" x14ac:dyDescent="0.25">
      <c r="A3" s="189"/>
      <c r="B3" s="1"/>
      <c r="C3" s="1"/>
    </row>
    <row r="4" spans="1:14" ht="15" customHeight="1" x14ac:dyDescent="0.25">
      <c r="C4" s="1"/>
      <c r="F4" s="8"/>
    </row>
    <row r="5" spans="1:14" ht="1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" customHeight="1" x14ac:dyDescent="0.25">
      <c r="A6" s="34" t="s">
        <v>16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5" customHeight="1" x14ac:dyDescent="0.25">
      <c r="A7" s="33" t="s">
        <v>0</v>
      </c>
      <c r="B7" s="43">
        <v>43061</v>
      </c>
      <c r="C7" s="31"/>
      <c r="D7" s="31"/>
      <c r="E7" s="4"/>
      <c r="F7" s="5" t="s">
        <v>1</v>
      </c>
      <c r="G7" s="8"/>
      <c r="N7" s="31"/>
    </row>
    <row r="8" spans="1:14" ht="15" customHeight="1" x14ac:dyDescent="0.25">
      <c r="A8" s="31"/>
      <c r="B8" s="31"/>
      <c r="C8" s="31"/>
      <c r="D8" s="31"/>
      <c r="E8" s="167"/>
      <c r="F8" s="5" t="s">
        <v>8</v>
      </c>
      <c r="G8" s="31"/>
      <c r="H8" s="31"/>
      <c r="I8" s="31"/>
      <c r="J8" s="31"/>
      <c r="K8" s="31"/>
      <c r="L8" s="31"/>
      <c r="M8" s="31"/>
      <c r="N8" s="31"/>
    </row>
    <row r="9" spans="1:14" ht="15" customHeight="1" x14ac:dyDescent="0.25">
      <c r="A9" s="3" t="s">
        <v>5</v>
      </c>
      <c r="B9" s="73">
        <v>0.13500000000000001</v>
      </c>
      <c r="C9" s="31"/>
      <c r="D9" s="31"/>
      <c r="E9" s="89"/>
      <c r="F9" s="75"/>
      <c r="G9" s="31"/>
      <c r="H9" s="31"/>
      <c r="I9" s="31"/>
      <c r="J9" s="31"/>
      <c r="K9" s="31"/>
      <c r="L9" s="31"/>
      <c r="M9" s="31"/>
      <c r="N9" s="31"/>
    </row>
    <row r="10" spans="1:14" ht="15" customHeight="1" x14ac:dyDescent="0.25">
      <c r="A10" s="36" t="s">
        <v>7</v>
      </c>
      <c r="B10" s="74">
        <v>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5" customHeight="1" x14ac:dyDescent="0.25">
      <c r="A11" s="36" t="s">
        <v>31</v>
      </c>
      <c r="B11" s="38">
        <v>0.8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s="88" customFormat="1" ht="15" customHeight="1" x14ac:dyDescent="0.25">
      <c r="A12" s="36" t="s">
        <v>30</v>
      </c>
      <c r="B12" s="37">
        <v>1320.05</v>
      </c>
    </row>
    <row r="13" spans="1:14" ht="24.75" customHeight="1" x14ac:dyDescent="0.25">
      <c r="A13" s="39" t="s">
        <v>32</v>
      </c>
      <c r="B13" s="181">
        <v>0.02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ht="15" customHeight="1" x14ac:dyDescent="0.25">
      <c r="A14" s="190" t="s">
        <v>17</v>
      </c>
      <c r="B14" s="37" t="s">
        <v>18</v>
      </c>
      <c r="C14" s="37" t="s">
        <v>19</v>
      </c>
      <c r="D14" s="37" t="s">
        <v>20</v>
      </c>
      <c r="E14" s="37" t="s">
        <v>21</v>
      </c>
      <c r="F14" s="37" t="s">
        <v>22</v>
      </c>
      <c r="G14" s="37" t="s">
        <v>23</v>
      </c>
      <c r="H14" s="37" t="s">
        <v>24</v>
      </c>
      <c r="I14" s="37" t="s">
        <v>25</v>
      </c>
      <c r="J14" s="37" t="s">
        <v>26</v>
      </c>
      <c r="K14" s="37" t="s">
        <v>27</v>
      </c>
      <c r="L14" s="37" t="s">
        <v>28</v>
      </c>
      <c r="M14" s="37" t="s">
        <v>29</v>
      </c>
      <c r="N14" s="37" t="s">
        <v>3</v>
      </c>
    </row>
    <row r="15" spans="1:14" ht="15" customHeight="1" x14ac:dyDescent="0.25">
      <c r="A15" s="190"/>
      <c r="B15" s="187">
        <v>76.56</v>
      </c>
      <c r="C15" s="188">
        <v>72.962999999999994</v>
      </c>
      <c r="D15" s="188">
        <v>58.527000000000001</v>
      </c>
      <c r="E15" s="188">
        <v>10.273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8">
        <v>24.972999999999999</v>
      </c>
      <c r="L15" s="188">
        <v>55.715000000000003</v>
      </c>
      <c r="M15" s="188">
        <v>75.748999999999995</v>
      </c>
      <c r="N15" s="188">
        <v>374.76100000000002</v>
      </c>
    </row>
    <row r="16" spans="1:14" ht="15" customHeight="1" x14ac:dyDescent="0.25">
      <c r="A16" s="3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</row>
    <row r="17" spans="1:21" ht="15" customHeight="1" x14ac:dyDescent="0.25">
      <c r="A17" s="34" t="s">
        <v>33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 spans="1:21" ht="15" customHeight="1" x14ac:dyDescent="0.25">
      <c r="A18" s="49" t="s">
        <v>54</v>
      </c>
      <c r="B18" s="168">
        <f>startDate</f>
        <v>43061</v>
      </c>
      <c r="C18" s="168">
        <f>DATE(YEAR(B18)+contractDurationYears,MONTH(B18),DAY(B18)+contractDurationDays)</f>
        <v>45252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21" s="31" customFormat="1" ht="15" customHeight="1" x14ac:dyDescent="0.25">
      <c r="A19" s="68" t="s">
        <v>55</v>
      </c>
      <c r="B19" s="169">
        <v>6</v>
      </c>
      <c r="C19" s="177"/>
      <c r="D19"/>
    </row>
    <row r="20" spans="1:21" s="31" customFormat="1" ht="15" customHeight="1" x14ac:dyDescent="0.25">
      <c r="A20" s="68" t="s">
        <v>56</v>
      </c>
      <c r="B20" s="170">
        <v>0</v>
      </c>
      <c r="C20" s="177"/>
      <c r="D20"/>
    </row>
    <row r="21" spans="1:21" x14ac:dyDescent="0.25">
      <c r="A21" s="42" t="s">
        <v>37</v>
      </c>
      <c r="B21" s="171">
        <f>contractDurationYears*365+contractDurationDays</f>
        <v>2190</v>
      </c>
      <c r="C21" s="17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21" x14ac:dyDescent="0.25">
      <c r="A22" s="84" t="s">
        <v>67</v>
      </c>
      <c r="B22" s="182">
        <v>0.91</v>
      </c>
      <c r="C22" s="177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49" t="s">
        <v>39</v>
      </c>
      <c r="B23" s="172">
        <v>43174</v>
      </c>
      <c r="C23" s="173">
        <f>$C$18</f>
        <v>45252</v>
      </c>
      <c r="D23" s="31"/>
      <c r="E23" s="31"/>
      <c r="G23" s="31"/>
      <c r="H23" s="31"/>
      <c r="I23" s="31"/>
      <c r="J23" s="31"/>
      <c r="K23" s="31"/>
      <c r="L23" s="31"/>
      <c r="M23" s="31"/>
      <c r="N23" s="31"/>
    </row>
    <row r="24" spans="1:21" s="51" customFormat="1" x14ac:dyDescent="0.25">
      <c r="A24" s="68" t="s">
        <v>58</v>
      </c>
      <c r="B24" s="174">
        <f>DATEDIF(B23,C23,"d")</f>
        <v>2078</v>
      </c>
      <c r="C24" s="177"/>
    </row>
    <row r="25" spans="1:21" s="31" customFormat="1" x14ac:dyDescent="0.25">
      <c r="A25" s="41" t="s">
        <v>36</v>
      </c>
      <c r="B25" s="175">
        <v>0.3</v>
      </c>
      <c r="C25" s="178"/>
    </row>
    <row r="26" spans="1:21" ht="42.75" customHeight="1" x14ac:dyDescent="0.25">
      <c r="A26" s="67" t="s">
        <v>57</v>
      </c>
      <c r="B26" s="176">
        <v>0</v>
      </c>
      <c r="C26" s="177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21" x14ac:dyDescent="0.25">
      <c r="A27" s="1"/>
      <c r="B27" s="1"/>
      <c r="C27" s="1"/>
    </row>
    <row r="28" spans="1:21" x14ac:dyDescent="0.25">
      <c r="A28" s="1"/>
      <c r="B28" s="1"/>
      <c r="C28" s="1"/>
    </row>
    <row r="29" spans="1:21" x14ac:dyDescent="0.25">
      <c r="A29" s="1"/>
      <c r="B29" s="1"/>
      <c r="C29" s="1"/>
    </row>
    <row r="30" spans="1:21" x14ac:dyDescent="0.25">
      <c r="A30" s="1"/>
      <c r="B30" s="1"/>
      <c r="C30" s="1"/>
    </row>
    <row r="31" spans="1:21" x14ac:dyDescent="0.25">
      <c r="A31" s="1"/>
      <c r="B31" s="1"/>
      <c r="C31" s="1"/>
    </row>
    <row r="32" spans="1:21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  <row r="47" spans="1:3" x14ac:dyDescent="0.25">
      <c r="A47" s="1"/>
      <c r="B47" s="1"/>
      <c r="C47" s="1"/>
    </row>
    <row r="48" spans="1:3" x14ac:dyDescent="0.25">
      <c r="A48" s="1"/>
      <c r="B48" s="1"/>
      <c r="C48" s="1"/>
    </row>
    <row r="49" spans="1:3" x14ac:dyDescent="0.25">
      <c r="A49" s="1"/>
      <c r="B49" s="1"/>
      <c r="C49" s="1"/>
    </row>
    <row r="50" spans="1:3" x14ac:dyDescent="0.25">
      <c r="A50" s="1"/>
      <c r="B50" s="1"/>
      <c r="C50" s="1"/>
    </row>
    <row r="51" spans="1:3" x14ac:dyDescent="0.25">
      <c r="A51" s="1"/>
      <c r="B51" s="1"/>
      <c r="C51" s="1"/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  <row r="166" spans="1:3" x14ac:dyDescent="0.25">
      <c r="A166" s="1"/>
      <c r="B166" s="1"/>
      <c r="C166" s="1"/>
    </row>
    <row r="167" spans="1:3" x14ac:dyDescent="0.25">
      <c r="A167" s="1"/>
      <c r="B167" s="1"/>
      <c r="C167" s="1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0" spans="1:3" x14ac:dyDescent="0.25">
      <c r="A170" s="1"/>
      <c r="B170" s="1"/>
      <c r="C170" s="1"/>
    </row>
    <row r="171" spans="1:3" x14ac:dyDescent="0.25">
      <c r="A171" s="1"/>
      <c r="B171" s="1"/>
      <c r="C171" s="1"/>
    </row>
    <row r="172" spans="1:3" x14ac:dyDescent="0.25">
      <c r="A172" s="1"/>
      <c r="B172" s="1"/>
      <c r="C172" s="1"/>
    </row>
    <row r="173" spans="1:3" x14ac:dyDescent="0.25">
      <c r="A173" s="1"/>
      <c r="B173" s="1"/>
      <c r="C173" s="1"/>
    </row>
    <row r="174" spans="1:3" x14ac:dyDescent="0.25">
      <c r="A174" s="1"/>
      <c r="B174" s="1"/>
      <c r="C174" s="1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  <row r="181" spans="1:3" x14ac:dyDescent="0.25">
      <c r="A181" s="1"/>
      <c r="B181" s="1"/>
      <c r="C181" s="1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4" spans="1:3" x14ac:dyDescent="0.25">
      <c r="A184" s="1"/>
      <c r="B184" s="1"/>
      <c r="C184" s="1"/>
    </row>
    <row r="185" spans="1:3" x14ac:dyDescent="0.25">
      <c r="A185" s="1"/>
      <c r="B185" s="1"/>
      <c r="C185" s="1"/>
    </row>
    <row r="186" spans="1:3" x14ac:dyDescent="0.25">
      <c r="A186" s="1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1" spans="1:3" x14ac:dyDescent="0.25">
      <c r="A191" s="1"/>
      <c r="B191" s="1"/>
      <c r="C191" s="1"/>
    </row>
    <row r="192" spans="1:3" x14ac:dyDescent="0.25">
      <c r="A192" s="1"/>
      <c r="B192" s="1"/>
      <c r="C192" s="1"/>
    </row>
    <row r="193" spans="1:3" x14ac:dyDescent="0.25">
      <c r="A193" s="1"/>
      <c r="B193" s="1"/>
      <c r="C193" s="1"/>
    </row>
    <row r="194" spans="1:3" x14ac:dyDescent="0.25">
      <c r="A194" s="1"/>
      <c r="B194" s="1"/>
      <c r="C194" s="1"/>
    </row>
    <row r="195" spans="1:3" x14ac:dyDescent="0.25">
      <c r="A195" s="1"/>
      <c r="B195" s="1"/>
      <c r="C195" s="1"/>
    </row>
    <row r="196" spans="1:3" x14ac:dyDescent="0.25">
      <c r="A196" s="1"/>
      <c r="B196" s="1"/>
      <c r="C196" s="1"/>
    </row>
    <row r="197" spans="1:3" x14ac:dyDescent="0.25">
      <c r="A197" s="1"/>
      <c r="B197" s="1"/>
      <c r="C197" s="1"/>
    </row>
    <row r="198" spans="1:3" x14ac:dyDescent="0.25">
      <c r="A198" s="1"/>
      <c r="B198" s="1"/>
      <c r="C198" s="1"/>
    </row>
    <row r="199" spans="1:3" x14ac:dyDescent="0.25">
      <c r="A199" s="1"/>
      <c r="B199" s="1"/>
      <c r="C199" s="1"/>
    </row>
    <row r="200" spans="1:3" x14ac:dyDescent="0.25">
      <c r="A200" s="1"/>
      <c r="B200" s="1"/>
      <c r="C200" s="1"/>
    </row>
    <row r="201" spans="1:3" x14ac:dyDescent="0.25">
      <c r="A201" s="1"/>
      <c r="B201" s="1"/>
      <c r="C201" s="1"/>
    </row>
    <row r="202" spans="1:3" x14ac:dyDescent="0.25">
      <c r="A202" s="1"/>
      <c r="B202" s="1"/>
      <c r="C202" s="1"/>
    </row>
    <row r="203" spans="1:3" x14ac:dyDescent="0.25">
      <c r="A203" s="1"/>
      <c r="B203" s="1"/>
      <c r="C203" s="1"/>
    </row>
    <row r="204" spans="1:3" x14ac:dyDescent="0.25">
      <c r="A204" s="1"/>
      <c r="B204" s="1"/>
      <c r="C204" s="1"/>
    </row>
    <row r="205" spans="1:3" x14ac:dyDescent="0.25">
      <c r="A205" s="1"/>
      <c r="B205" s="1"/>
      <c r="C205" s="1"/>
    </row>
    <row r="206" spans="1:3" x14ac:dyDescent="0.25">
      <c r="A206" s="1"/>
      <c r="B206" s="1"/>
      <c r="C206" s="1"/>
    </row>
    <row r="207" spans="1:3" x14ac:dyDescent="0.25">
      <c r="A207" s="1"/>
      <c r="B207" s="1"/>
      <c r="C207" s="1"/>
    </row>
    <row r="208" spans="1:3" x14ac:dyDescent="0.25">
      <c r="A208" s="1"/>
      <c r="B208" s="1"/>
      <c r="C208" s="1"/>
    </row>
    <row r="209" spans="1:3" x14ac:dyDescent="0.25">
      <c r="A209" s="1"/>
      <c r="B209" s="1"/>
      <c r="C209" s="1"/>
    </row>
    <row r="210" spans="1:3" x14ac:dyDescent="0.25">
      <c r="A210" s="1"/>
      <c r="B210" s="1"/>
      <c r="C210" s="1"/>
    </row>
    <row r="211" spans="1:3" x14ac:dyDescent="0.25">
      <c r="A211" s="1"/>
      <c r="B211" s="1"/>
      <c r="C211" s="1"/>
    </row>
    <row r="212" spans="1:3" x14ac:dyDescent="0.25">
      <c r="A212" s="1"/>
      <c r="B212" s="1"/>
      <c r="C212" s="1"/>
    </row>
    <row r="213" spans="1:3" x14ac:dyDescent="0.25">
      <c r="A213" s="1"/>
      <c r="B213" s="1"/>
      <c r="C213" s="1"/>
    </row>
    <row r="214" spans="1:3" x14ac:dyDescent="0.25">
      <c r="A214" s="1"/>
      <c r="B214" s="1"/>
      <c r="C214" s="1"/>
    </row>
    <row r="215" spans="1:3" x14ac:dyDescent="0.25">
      <c r="A215" s="1"/>
      <c r="B215" s="1"/>
      <c r="C215" s="1"/>
    </row>
    <row r="216" spans="1:3" x14ac:dyDescent="0.25">
      <c r="A216" s="1"/>
      <c r="B216" s="1"/>
      <c r="C216" s="1"/>
    </row>
    <row r="217" spans="1:3" x14ac:dyDescent="0.25">
      <c r="A217" s="1"/>
      <c r="B217" s="1"/>
      <c r="C217" s="1"/>
    </row>
    <row r="218" spans="1:3" x14ac:dyDescent="0.25">
      <c r="A218" s="1"/>
      <c r="B218" s="1"/>
      <c r="C218" s="1"/>
    </row>
    <row r="219" spans="1:3" x14ac:dyDescent="0.25">
      <c r="A219" s="1"/>
      <c r="B219" s="1"/>
      <c r="C219" s="1"/>
    </row>
    <row r="220" spans="1:3" x14ac:dyDescent="0.25">
      <c r="A220" s="1"/>
      <c r="B220" s="1"/>
      <c r="C220" s="1"/>
    </row>
    <row r="221" spans="1:3" x14ac:dyDescent="0.25">
      <c r="A221" s="1"/>
      <c r="B221" s="1"/>
      <c r="C221" s="1"/>
    </row>
    <row r="222" spans="1:3" x14ac:dyDescent="0.25">
      <c r="A222" s="1"/>
      <c r="B222" s="1"/>
      <c r="C222" s="1"/>
    </row>
    <row r="223" spans="1:3" x14ac:dyDescent="0.25">
      <c r="A223" s="1"/>
      <c r="B223" s="1"/>
      <c r="C223" s="1"/>
    </row>
    <row r="224" spans="1:3" x14ac:dyDescent="0.25">
      <c r="A224" s="1"/>
      <c r="B224" s="1"/>
      <c r="C224" s="1"/>
    </row>
    <row r="225" spans="1:3" x14ac:dyDescent="0.25">
      <c r="A225" s="1"/>
      <c r="B225" s="1"/>
      <c r="C225" s="1"/>
    </row>
    <row r="226" spans="1:3" x14ac:dyDescent="0.25">
      <c r="A226" s="1"/>
      <c r="B226" s="1"/>
      <c r="C226" s="1"/>
    </row>
    <row r="227" spans="1:3" x14ac:dyDescent="0.25">
      <c r="A227" s="1"/>
      <c r="B227" s="1"/>
      <c r="C227" s="1"/>
    </row>
    <row r="228" spans="1:3" x14ac:dyDescent="0.25">
      <c r="A228" s="1"/>
      <c r="B228" s="1"/>
      <c r="C228" s="1"/>
    </row>
    <row r="229" spans="1:3" x14ac:dyDescent="0.25">
      <c r="A229" s="1"/>
      <c r="B229" s="1"/>
      <c r="C229" s="1"/>
    </row>
    <row r="230" spans="1:3" x14ac:dyDescent="0.25">
      <c r="A230" s="1"/>
      <c r="B230" s="1"/>
      <c r="C230" s="1"/>
    </row>
    <row r="231" spans="1:3" x14ac:dyDescent="0.25">
      <c r="A231" s="1"/>
      <c r="B231" s="1"/>
      <c r="C231" s="1"/>
    </row>
    <row r="232" spans="1:3" x14ac:dyDescent="0.25">
      <c r="A232" s="1"/>
      <c r="B232" s="1"/>
      <c r="C232" s="1"/>
    </row>
    <row r="233" spans="1:3" x14ac:dyDescent="0.25">
      <c r="A233" s="1"/>
      <c r="B233" s="1"/>
      <c r="C233" s="1"/>
    </row>
    <row r="234" spans="1:3" x14ac:dyDescent="0.25">
      <c r="A234" s="1"/>
      <c r="B234" s="1"/>
      <c r="C234" s="1"/>
    </row>
    <row r="235" spans="1:3" x14ac:dyDescent="0.25">
      <c r="A235" s="1"/>
      <c r="B235" s="1"/>
      <c r="C235" s="1"/>
    </row>
    <row r="236" spans="1:3" x14ac:dyDescent="0.25">
      <c r="A236" s="1"/>
      <c r="B236" s="1"/>
      <c r="C236" s="1"/>
    </row>
    <row r="237" spans="1:3" x14ac:dyDescent="0.25">
      <c r="A237" s="1"/>
      <c r="B237" s="1"/>
      <c r="C237" s="1"/>
    </row>
    <row r="238" spans="1:3" x14ac:dyDescent="0.25">
      <c r="A238" s="1"/>
      <c r="B238" s="1"/>
      <c r="C238" s="1"/>
    </row>
    <row r="239" spans="1:3" x14ac:dyDescent="0.25">
      <c r="A239" s="1"/>
      <c r="B239" s="1"/>
      <c r="C239" s="1"/>
    </row>
    <row r="240" spans="1:3" x14ac:dyDescent="0.25">
      <c r="A240" s="1"/>
      <c r="B240" s="1"/>
      <c r="C240" s="1"/>
    </row>
    <row r="241" spans="1:3" x14ac:dyDescent="0.25">
      <c r="A241" s="1"/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B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B247" s="1"/>
      <c r="C247" s="1"/>
    </row>
    <row r="248" spans="1:3" x14ac:dyDescent="0.25">
      <c r="A248" s="1"/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  <c r="B251" s="1"/>
      <c r="C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A255" s="1"/>
      <c r="B255" s="1"/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A262" s="1"/>
      <c r="B262" s="1"/>
      <c r="C262" s="1"/>
    </row>
    <row r="263" spans="1:3" x14ac:dyDescent="0.25">
      <c r="A263" s="1"/>
      <c r="B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B267" s="1"/>
      <c r="C267" s="1"/>
    </row>
    <row r="268" spans="1:3" x14ac:dyDescent="0.25">
      <c r="A268" s="1"/>
      <c r="B268" s="1"/>
      <c r="C268" s="1"/>
    </row>
    <row r="269" spans="1:3" x14ac:dyDescent="0.25">
      <c r="A269" s="1"/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B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B275" s="1"/>
      <c r="C275" s="1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B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B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A290" s="1"/>
      <c r="B290" s="1"/>
      <c r="C290" s="1"/>
    </row>
    <row r="291" spans="1:3" x14ac:dyDescent="0.25">
      <c r="A291" s="1"/>
      <c r="B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B295" s="1"/>
      <c r="C295" s="1"/>
    </row>
    <row r="296" spans="1:3" x14ac:dyDescent="0.25">
      <c r="A296" s="1"/>
      <c r="B296" s="1"/>
      <c r="C296" s="1"/>
    </row>
    <row r="297" spans="1:3" x14ac:dyDescent="0.25">
      <c r="A297" s="1"/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B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B303" s="1"/>
      <c r="C303" s="1"/>
    </row>
    <row r="304" spans="1:3" x14ac:dyDescent="0.25">
      <c r="A304" s="1"/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B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A311" s="1"/>
      <c r="B311" s="1"/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B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A318" s="1"/>
      <c r="B318" s="1"/>
      <c r="C318" s="1"/>
    </row>
    <row r="319" spans="1:3" x14ac:dyDescent="0.25">
      <c r="A319" s="1"/>
      <c r="B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B323" s="1"/>
      <c r="C323" s="1"/>
    </row>
    <row r="324" spans="1:3" x14ac:dyDescent="0.25">
      <c r="A324" s="1"/>
      <c r="B324" s="1"/>
      <c r="C324" s="1"/>
    </row>
    <row r="325" spans="1:3" x14ac:dyDescent="0.25">
      <c r="A325" s="1"/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B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  <row r="330" spans="1:3" x14ac:dyDescent="0.25">
      <c r="A330" s="1"/>
      <c r="B330" s="1"/>
      <c r="C330" s="1"/>
    </row>
    <row r="331" spans="1:3" x14ac:dyDescent="0.25">
      <c r="A331" s="1"/>
      <c r="B331" s="1"/>
      <c r="C331" s="1"/>
    </row>
    <row r="332" spans="1:3" x14ac:dyDescent="0.25">
      <c r="A332" s="1"/>
      <c r="B332" s="1"/>
      <c r="C332" s="1"/>
    </row>
    <row r="333" spans="1:3" x14ac:dyDescent="0.25">
      <c r="A333" s="1"/>
      <c r="B333" s="1"/>
      <c r="C333" s="1"/>
    </row>
    <row r="334" spans="1:3" x14ac:dyDescent="0.25">
      <c r="A334" s="1"/>
      <c r="B334" s="1"/>
      <c r="C334" s="1"/>
    </row>
    <row r="335" spans="1:3" x14ac:dyDescent="0.25">
      <c r="A335" s="1"/>
      <c r="B335" s="1"/>
      <c r="C335" s="1"/>
    </row>
    <row r="336" spans="1:3" x14ac:dyDescent="0.25">
      <c r="A336" s="1"/>
      <c r="B336" s="1"/>
      <c r="C336" s="1"/>
    </row>
    <row r="337" spans="1:3" x14ac:dyDescent="0.25">
      <c r="A337" s="1"/>
      <c r="B337" s="1"/>
      <c r="C337" s="1"/>
    </row>
    <row r="338" spans="1:3" x14ac:dyDescent="0.25">
      <c r="A338" s="1"/>
      <c r="B338" s="1"/>
      <c r="C338" s="1"/>
    </row>
    <row r="339" spans="1:3" x14ac:dyDescent="0.25">
      <c r="A339" s="1"/>
      <c r="B339" s="1"/>
      <c r="C339" s="1"/>
    </row>
    <row r="340" spans="1:3" x14ac:dyDescent="0.25">
      <c r="A340" s="1"/>
      <c r="B340" s="1"/>
      <c r="C340" s="1"/>
    </row>
    <row r="341" spans="1:3" x14ac:dyDescent="0.25">
      <c r="A341" s="1"/>
      <c r="B341" s="1"/>
      <c r="C341" s="1"/>
    </row>
    <row r="342" spans="1:3" x14ac:dyDescent="0.25">
      <c r="A342" s="1"/>
      <c r="B342" s="1"/>
      <c r="C342" s="1"/>
    </row>
    <row r="343" spans="1:3" x14ac:dyDescent="0.25">
      <c r="A343" s="1"/>
      <c r="B343" s="1"/>
      <c r="C343" s="1"/>
    </row>
    <row r="344" spans="1:3" x14ac:dyDescent="0.25">
      <c r="A344" s="1"/>
      <c r="B344" s="1"/>
      <c r="C344" s="1"/>
    </row>
    <row r="345" spans="1:3" x14ac:dyDescent="0.25">
      <c r="A345" s="1"/>
      <c r="B345" s="1"/>
      <c r="C345" s="1"/>
    </row>
    <row r="346" spans="1:3" x14ac:dyDescent="0.25">
      <c r="A346" s="1"/>
      <c r="B346" s="1"/>
      <c r="C346" s="1"/>
    </row>
    <row r="347" spans="1:3" x14ac:dyDescent="0.25">
      <c r="A347" s="1"/>
      <c r="B347" s="1"/>
      <c r="C347" s="1"/>
    </row>
    <row r="348" spans="1:3" x14ac:dyDescent="0.25">
      <c r="A348" s="1"/>
      <c r="B348" s="1"/>
      <c r="C348" s="1"/>
    </row>
    <row r="349" spans="1:3" x14ac:dyDescent="0.25">
      <c r="A349" s="1"/>
      <c r="B349" s="1"/>
      <c r="C349" s="1"/>
    </row>
    <row r="350" spans="1:3" x14ac:dyDescent="0.25">
      <c r="A350" s="1"/>
      <c r="B350" s="1"/>
      <c r="C350" s="1"/>
    </row>
    <row r="351" spans="1:3" x14ac:dyDescent="0.25">
      <c r="A351" s="1"/>
      <c r="B351" s="1"/>
      <c r="C351" s="1"/>
    </row>
    <row r="352" spans="1:3" x14ac:dyDescent="0.25">
      <c r="A352" s="1"/>
      <c r="B352" s="1"/>
      <c r="C352" s="1"/>
    </row>
    <row r="353" spans="1:3" x14ac:dyDescent="0.25">
      <c r="A353" s="1"/>
      <c r="B353" s="1"/>
      <c r="C353" s="1"/>
    </row>
    <row r="354" spans="1:3" x14ac:dyDescent="0.25">
      <c r="A354" s="1"/>
      <c r="B354" s="1"/>
      <c r="C354" s="1"/>
    </row>
    <row r="355" spans="1:3" x14ac:dyDescent="0.25">
      <c r="A355" s="1"/>
      <c r="B355" s="1"/>
      <c r="C355" s="1"/>
    </row>
    <row r="356" spans="1:3" x14ac:dyDescent="0.25">
      <c r="A356" s="1"/>
      <c r="B356" s="1"/>
      <c r="C356" s="1"/>
    </row>
    <row r="357" spans="1:3" x14ac:dyDescent="0.25">
      <c r="A357" s="1"/>
      <c r="B357" s="1"/>
      <c r="C357" s="1"/>
    </row>
    <row r="358" spans="1:3" x14ac:dyDescent="0.25">
      <c r="A358" s="1"/>
      <c r="B358" s="1"/>
      <c r="C358" s="1"/>
    </row>
    <row r="359" spans="1:3" x14ac:dyDescent="0.25">
      <c r="A359" s="1"/>
      <c r="B359" s="1"/>
      <c r="C359" s="1"/>
    </row>
    <row r="360" spans="1:3" x14ac:dyDescent="0.25">
      <c r="A360" s="1"/>
      <c r="B360" s="1"/>
      <c r="C360" s="1"/>
    </row>
    <row r="361" spans="1:3" x14ac:dyDescent="0.25">
      <c r="A361" s="1"/>
      <c r="B361" s="1"/>
      <c r="C361" s="1"/>
    </row>
    <row r="362" spans="1:3" x14ac:dyDescent="0.25">
      <c r="A362" s="1"/>
      <c r="B362" s="1"/>
      <c r="C362" s="1"/>
    </row>
    <row r="363" spans="1:3" x14ac:dyDescent="0.25">
      <c r="A363" s="1"/>
      <c r="B363" s="1"/>
      <c r="C363" s="1"/>
    </row>
    <row r="364" spans="1:3" x14ac:dyDescent="0.25">
      <c r="A364" s="1"/>
      <c r="B364" s="1"/>
      <c r="C364" s="1"/>
    </row>
    <row r="365" spans="1:3" x14ac:dyDescent="0.25">
      <c r="A365" s="1"/>
      <c r="B365" s="1"/>
      <c r="C365" s="1"/>
    </row>
    <row r="366" spans="1:3" x14ac:dyDescent="0.25">
      <c r="A366" s="1"/>
      <c r="B366" s="1"/>
      <c r="C366" s="1"/>
    </row>
    <row r="367" spans="1:3" x14ac:dyDescent="0.25">
      <c r="A367" s="1"/>
      <c r="B367" s="1"/>
      <c r="C367" s="1"/>
    </row>
    <row r="368" spans="1:3" x14ac:dyDescent="0.25">
      <c r="A368" s="1"/>
      <c r="B368" s="1"/>
      <c r="C368" s="1"/>
    </row>
    <row r="369" spans="1:3" x14ac:dyDescent="0.25">
      <c r="A369" s="1"/>
      <c r="B369" s="1"/>
      <c r="C369" s="1"/>
    </row>
    <row r="370" spans="1:3" x14ac:dyDescent="0.25">
      <c r="A370" s="1"/>
      <c r="B370" s="1"/>
      <c r="C370" s="1"/>
    </row>
    <row r="371" spans="1:3" x14ac:dyDescent="0.25">
      <c r="A371" s="1"/>
      <c r="B371" s="1"/>
      <c r="C371" s="1"/>
    </row>
    <row r="372" spans="1:3" x14ac:dyDescent="0.25">
      <c r="A372" s="1"/>
      <c r="B372" s="1"/>
      <c r="C372" s="1"/>
    </row>
    <row r="373" spans="1:3" x14ac:dyDescent="0.25">
      <c r="A373" s="1"/>
      <c r="B373" s="1"/>
      <c r="C373" s="1"/>
    </row>
    <row r="374" spans="1:3" x14ac:dyDescent="0.25">
      <c r="A374" s="1"/>
      <c r="B374" s="1"/>
      <c r="C374" s="1"/>
    </row>
    <row r="375" spans="1:3" x14ac:dyDescent="0.25">
      <c r="A375" s="1"/>
      <c r="B375" s="1"/>
      <c r="C375" s="1"/>
    </row>
    <row r="376" spans="1:3" x14ac:dyDescent="0.25">
      <c r="A376" s="1"/>
      <c r="B376" s="1"/>
      <c r="C376" s="1"/>
    </row>
    <row r="377" spans="1:3" x14ac:dyDescent="0.25">
      <c r="A377" s="1"/>
      <c r="B377" s="1"/>
      <c r="C377" s="1"/>
    </row>
    <row r="378" spans="1:3" x14ac:dyDescent="0.25">
      <c r="A378" s="1"/>
      <c r="B378" s="1"/>
      <c r="C378" s="1"/>
    </row>
    <row r="379" spans="1:3" x14ac:dyDescent="0.25">
      <c r="A379" s="1"/>
      <c r="B379" s="1"/>
      <c r="C379" s="1"/>
    </row>
    <row r="380" spans="1:3" x14ac:dyDescent="0.25">
      <c r="A380" s="1"/>
      <c r="B380" s="1"/>
      <c r="C380" s="1"/>
    </row>
    <row r="381" spans="1:3" x14ac:dyDescent="0.25">
      <c r="A381" s="1"/>
      <c r="B381" s="1"/>
      <c r="C381" s="1"/>
    </row>
    <row r="382" spans="1:3" x14ac:dyDescent="0.25">
      <c r="A382" s="1"/>
      <c r="B382" s="1"/>
      <c r="C382" s="1"/>
    </row>
    <row r="383" spans="1:3" x14ac:dyDescent="0.25">
      <c r="A383" s="1"/>
      <c r="B383" s="1"/>
      <c r="C383" s="1"/>
    </row>
    <row r="384" spans="1:3" x14ac:dyDescent="0.25">
      <c r="A384" s="1"/>
      <c r="B384" s="1"/>
      <c r="C384" s="1"/>
    </row>
    <row r="385" spans="1:3" x14ac:dyDescent="0.25">
      <c r="A385" s="1"/>
      <c r="B385" s="1"/>
      <c r="C385" s="1"/>
    </row>
    <row r="386" spans="1:3" x14ac:dyDescent="0.25">
      <c r="A386" s="1"/>
      <c r="B386" s="1"/>
      <c r="C386" s="1"/>
    </row>
    <row r="387" spans="1:3" x14ac:dyDescent="0.25">
      <c r="A387" s="1"/>
      <c r="B387" s="1"/>
      <c r="C387" s="1"/>
    </row>
    <row r="388" spans="1:3" x14ac:dyDescent="0.25">
      <c r="A388" s="1"/>
      <c r="B388" s="1"/>
      <c r="C388" s="1"/>
    </row>
    <row r="389" spans="1:3" x14ac:dyDescent="0.25">
      <c r="A389" s="1"/>
      <c r="B389" s="1"/>
      <c r="C389" s="1"/>
    </row>
    <row r="390" spans="1:3" x14ac:dyDescent="0.25">
      <c r="A390" s="1"/>
      <c r="B390" s="1"/>
      <c r="C390" s="1"/>
    </row>
    <row r="391" spans="1:3" x14ac:dyDescent="0.25">
      <c r="A391" s="1"/>
      <c r="B391" s="1"/>
      <c r="C391" s="1"/>
    </row>
    <row r="392" spans="1:3" x14ac:dyDescent="0.25">
      <c r="A392" s="1"/>
      <c r="B392" s="1"/>
      <c r="C392" s="1"/>
    </row>
    <row r="393" spans="1:3" x14ac:dyDescent="0.25">
      <c r="A393" s="1"/>
      <c r="B393" s="1"/>
      <c r="C393" s="1"/>
    </row>
    <row r="394" spans="1:3" x14ac:dyDescent="0.25">
      <c r="A394" s="1"/>
      <c r="B394" s="1"/>
      <c r="C394" s="1"/>
    </row>
    <row r="395" spans="1:3" x14ac:dyDescent="0.25">
      <c r="A395" s="1"/>
      <c r="B395" s="1"/>
      <c r="C395" s="1"/>
    </row>
    <row r="396" spans="1:3" x14ac:dyDescent="0.25">
      <c r="A396" s="1"/>
      <c r="B396" s="1"/>
      <c r="C396" s="1"/>
    </row>
    <row r="397" spans="1:3" x14ac:dyDescent="0.25">
      <c r="A397" s="1"/>
      <c r="B397" s="1"/>
      <c r="C397" s="1"/>
    </row>
    <row r="398" spans="1:3" x14ac:dyDescent="0.25">
      <c r="A398" s="1"/>
      <c r="B398" s="1"/>
      <c r="C398" s="1"/>
    </row>
    <row r="399" spans="1:3" x14ac:dyDescent="0.25">
      <c r="A399" s="1"/>
      <c r="B399" s="1"/>
      <c r="C399" s="1"/>
    </row>
    <row r="400" spans="1:3" x14ac:dyDescent="0.25">
      <c r="A400" s="1"/>
      <c r="B400" s="1"/>
      <c r="C400" s="1"/>
    </row>
    <row r="401" spans="1:3" x14ac:dyDescent="0.25">
      <c r="A401" s="1"/>
      <c r="B401" s="1"/>
      <c r="C401" s="1"/>
    </row>
    <row r="402" spans="1:3" x14ac:dyDescent="0.25">
      <c r="A402" s="1"/>
      <c r="B402" s="1"/>
      <c r="C402" s="1"/>
    </row>
    <row r="403" spans="1:3" x14ac:dyDescent="0.25">
      <c r="A403" s="1"/>
      <c r="B403" s="1"/>
      <c r="C403" s="1"/>
    </row>
    <row r="404" spans="1:3" x14ac:dyDescent="0.25">
      <c r="A404" s="1"/>
      <c r="B404" s="1"/>
      <c r="C404" s="1"/>
    </row>
    <row r="405" spans="1:3" x14ac:dyDescent="0.25">
      <c r="A405" s="1"/>
      <c r="B405" s="1"/>
      <c r="C405" s="1"/>
    </row>
    <row r="406" spans="1:3" x14ac:dyDescent="0.25">
      <c r="A406" s="1"/>
      <c r="B406" s="1"/>
      <c r="C406" s="1"/>
    </row>
    <row r="407" spans="1:3" x14ac:dyDescent="0.25">
      <c r="A407" s="1"/>
      <c r="B407" s="1"/>
      <c r="C407" s="1"/>
    </row>
    <row r="408" spans="1:3" x14ac:dyDescent="0.25">
      <c r="A408" s="1"/>
      <c r="B408" s="1"/>
      <c r="C408" s="1"/>
    </row>
    <row r="409" spans="1:3" x14ac:dyDescent="0.25">
      <c r="A409" s="1"/>
      <c r="B409" s="1"/>
      <c r="C409" s="1"/>
    </row>
    <row r="410" spans="1:3" x14ac:dyDescent="0.25">
      <c r="A410" s="1"/>
      <c r="B410" s="1"/>
      <c r="C410" s="1"/>
    </row>
    <row r="411" spans="1:3" x14ac:dyDescent="0.25">
      <c r="A411" s="1"/>
      <c r="B411" s="1"/>
      <c r="C411" s="1"/>
    </row>
    <row r="412" spans="1:3" x14ac:dyDescent="0.25">
      <c r="A412" s="1"/>
      <c r="B412" s="1"/>
      <c r="C412" s="1"/>
    </row>
    <row r="413" spans="1:3" x14ac:dyDescent="0.25">
      <c r="A413" s="1"/>
      <c r="B413" s="1"/>
      <c r="C413" s="1"/>
    </row>
    <row r="414" spans="1:3" x14ac:dyDescent="0.25">
      <c r="A414" s="1"/>
      <c r="B414" s="1"/>
      <c r="C414" s="1"/>
    </row>
    <row r="415" spans="1:3" x14ac:dyDescent="0.25">
      <c r="A415" s="1"/>
      <c r="B415" s="1"/>
      <c r="C415" s="1"/>
    </row>
    <row r="416" spans="1:3" x14ac:dyDescent="0.25">
      <c r="A416" s="1"/>
      <c r="B416" s="1"/>
      <c r="C416" s="1"/>
    </row>
    <row r="417" spans="1:3" x14ac:dyDescent="0.25">
      <c r="A417" s="1"/>
      <c r="B417" s="1"/>
      <c r="C417" s="1"/>
    </row>
    <row r="418" spans="1:3" x14ac:dyDescent="0.25">
      <c r="A418" s="1"/>
      <c r="B418" s="1"/>
      <c r="C418" s="1"/>
    </row>
    <row r="419" spans="1:3" x14ac:dyDescent="0.25">
      <c r="A419" s="1"/>
      <c r="B419" s="1"/>
      <c r="C419" s="1"/>
    </row>
    <row r="420" spans="1:3" x14ac:dyDescent="0.25">
      <c r="A420" s="1"/>
      <c r="B420" s="1"/>
      <c r="C420" s="1"/>
    </row>
    <row r="421" spans="1:3" x14ac:dyDescent="0.25">
      <c r="A421" s="1"/>
      <c r="B421" s="1"/>
      <c r="C421" s="1"/>
    </row>
    <row r="422" spans="1:3" x14ac:dyDescent="0.25">
      <c r="A422" s="1"/>
      <c r="B422" s="1"/>
      <c r="C422" s="1"/>
    </row>
    <row r="423" spans="1:3" x14ac:dyDescent="0.25">
      <c r="A423" s="1"/>
      <c r="B423" s="1"/>
      <c r="C423" s="1"/>
    </row>
    <row r="424" spans="1:3" x14ac:dyDescent="0.25">
      <c r="A424" s="1"/>
      <c r="B424" s="1"/>
      <c r="C424" s="1"/>
    </row>
    <row r="425" spans="1:3" x14ac:dyDescent="0.25">
      <c r="A425" s="1"/>
      <c r="B425" s="1"/>
      <c r="C425" s="1"/>
    </row>
    <row r="426" spans="1:3" x14ac:dyDescent="0.25">
      <c r="A426" s="1"/>
      <c r="B426" s="1"/>
      <c r="C426" s="1"/>
    </row>
    <row r="427" spans="1:3" x14ac:dyDescent="0.25">
      <c r="A427" s="1"/>
      <c r="B427" s="1"/>
      <c r="C427" s="1"/>
    </row>
    <row r="428" spans="1:3" x14ac:dyDescent="0.25">
      <c r="A428" s="1"/>
      <c r="B428" s="1"/>
      <c r="C428" s="1"/>
    </row>
    <row r="429" spans="1:3" x14ac:dyDescent="0.25">
      <c r="A429" s="1"/>
      <c r="B429" s="1"/>
      <c r="C429" s="1"/>
    </row>
    <row r="430" spans="1:3" x14ac:dyDescent="0.25">
      <c r="A430" s="1"/>
      <c r="B430" s="1"/>
      <c r="C430" s="1"/>
    </row>
    <row r="431" spans="1:3" x14ac:dyDescent="0.25">
      <c r="A431" s="1"/>
      <c r="B431" s="1"/>
      <c r="C431" s="1"/>
    </row>
    <row r="432" spans="1:3" x14ac:dyDescent="0.25">
      <c r="A432" s="1"/>
      <c r="B432" s="1"/>
      <c r="C432" s="1"/>
    </row>
    <row r="433" spans="1:3" x14ac:dyDescent="0.25">
      <c r="A433" s="1"/>
      <c r="B433" s="1"/>
      <c r="C433" s="1"/>
    </row>
    <row r="434" spans="1:3" x14ac:dyDescent="0.25">
      <c r="A434" s="1"/>
      <c r="B434" s="1"/>
      <c r="C434" s="1"/>
    </row>
    <row r="435" spans="1:3" x14ac:dyDescent="0.25">
      <c r="A435" s="1"/>
      <c r="B435" s="1"/>
      <c r="C435" s="1"/>
    </row>
    <row r="436" spans="1:3" x14ac:dyDescent="0.25">
      <c r="A436" s="1"/>
      <c r="B436" s="1"/>
      <c r="C436" s="1"/>
    </row>
    <row r="437" spans="1:3" x14ac:dyDescent="0.25">
      <c r="A437" s="1"/>
      <c r="B437" s="1"/>
      <c r="C437" s="1"/>
    </row>
    <row r="438" spans="1:3" x14ac:dyDescent="0.25">
      <c r="A438" s="1"/>
      <c r="B438" s="1"/>
      <c r="C438" s="1"/>
    </row>
    <row r="439" spans="1:3" x14ac:dyDescent="0.25">
      <c r="A439" s="1"/>
      <c r="B439" s="1"/>
      <c r="C439" s="1"/>
    </row>
    <row r="440" spans="1:3" x14ac:dyDescent="0.25">
      <c r="A440" s="1"/>
      <c r="B440" s="1"/>
      <c r="C440" s="1"/>
    </row>
    <row r="441" spans="1:3" x14ac:dyDescent="0.25">
      <c r="A441" s="1"/>
      <c r="B441" s="1"/>
      <c r="C441" s="1"/>
    </row>
    <row r="442" spans="1:3" x14ac:dyDescent="0.25">
      <c r="A442" s="1"/>
      <c r="B442" s="1"/>
      <c r="C442" s="1"/>
    </row>
    <row r="443" spans="1:3" x14ac:dyDescent="0.25">
      <c r="A443" s="1"/>
      <c r="B443" s="1"/>
      <c r="C443" s="1"/>
    </row>
    <row r="444" spans="1:3" x14ac:dyDescent="0.25">
      <c r="A444" s="1"/>
      <c r="B444" s="1"/>
      <c r="C444" s="1"/>
    </row>
    <row r="445" spans="1:3" x14ac:dyDescent="0.25">
      <c r="A445" s="1"/>
      <c r="B445" s="1"/>
      <c r="C445" s="1"/>
    </row>
    <row r="446" spans="1:3" x14ac:dyDescent="0.25">
      <c r="A446" s="1"/>
      <c r="B446" s="1"/>
      <c r="C446" s="1"/>
    </row>
    <row r="447" spans="1:3" x14ac:dyDescent="0.25">
      <c r="A447" s="1"/>
      <c r="B447" s="1"/>
      <c r="C447" s="1"/>
    </row>
    <row r="448" spans="1:3" x14ac:dyDescent="0.25">
      <c r="A448" s="1"/>
      <c r="B448" s="1"/>
      <c r="C448" s="1"/>
    </row>
    <row r="449" spans="1:3" x14ac:dyDescent="0.25">
      <c r="A449" s="1"/>
      <c r="B449" s="1"/>
      <c r="C449" s="1"/>
    </row>
    <row r="450" spans="1:3" x14ac:dyDescent="0.25">
      <c r="A450" s="1"/>
      <c r="B450" s="1"/>
      <c r="C450" s="1"/>
    </row>
    <row r="451" spans="1:3" x14ac:dyDescent="0.25">
      <c r="A451" s="1"/>
      <c r="B451" s="1"/>
      <c r="C451" s="1"/>
    </row>
    <row r="452" spans="1:3" x14ac:dyDescent="0.25">
      <c r="A452" s="1"/>
      <c r="B452" s="1"/>
      <c r="C452" s="1"/>
    </row>
    <row r="453" spans="1:3" x14ac:dyDescent="0.25">
      <c r="A453" s="1"/>
      <c r="B453" s="1"/>
      <c r="C453" s="1"/>
    </row>
    <row r="454" spans="1:3" x14ac:dyDescent="0.25">
      <c r="A454" s="1"/>
      <c r="B454" s="1"/>
      <c r="C454" s="1"/>
    </row>
    <row r="455" spans="1:3" x14ac:dyDescent="0.25">
      <c r="A455" s="1"/>
      <c r="B455" s="1"/>
      <c r="C455" s="1"/>
    </row>
    <row r="456" spans="1:3" x14ac:dyDescent="0.25">
      <c r="A456" s="1"/>
      <c r="B456" s="1"/>
      <c r="C456" s="1"/>
    </row>
    <row r="457" spans="1:3" x14ac:dyDescent="0.25">
      <c r="A457" s="1"/>
      <c r="B457" s="1"/>
      <c r="C457" s="1"/>
    </row>
    <row r="458" spans="1:3" x14ac:dyDescent="0.25">
      <c r="A458" s="1"/>
      <c r="B458" s="1"/>
      <c r="C458" s="1"/>
    </row>
    <row r="459" spans="1:3" x14ac:dyDescent="0.25">
      <c r="A459" s="1"/>
      <c r="B459" s="1"/>
      <c r="C459" s="1"/>
    </row>
    <row r="460" spans="1:3" x14ac:dyDescent="0.25">
      <c r="A460" s="1"/>
      <c r="B460" s="1"/>
      <c r="C460" s="1"/>
    </row>
    <row r="461" spans="1:3" x14ac:dyDescent="0.25">
      <c r="A461" s="1"/>
      <c r="B461" s="1"/>
      <c r="C461" s="1"/>
    </row>
    <row r="462" spans="1:3" x14ac:dyDescent="0.25">
      <c r="A462" s="1"/>
      <c r="B462" s="1"/>
      <c r="C462" s="1"/>
    </row>
    <row r="463" spans="1:3" x14ac:dyDescent="0.25">
      <c r="A463" s="1"/>
      <c r="B463" s="1"/>
      <c r="C463" s="1"/>
    </row>
    <row r="464" spans="1:3" x14ac:dyDescent="0.25">
      <c r="A464" s="1"/>
      <c r="B464" s="1"/>
      <c r="C464" s="1"/>
    </row>
    <row r="465" spans="1:3" x14ac:dyDescent="0.25">
      <c r="A465" s="1"/>
      <c r="B465" s="1"/>
      <c r="C465" s="1"/>
    </row>
    <row r="466" spans="1:3" x14ac:dyDescent="0.25">
      <c r="A466" s="1"/>
      <c r="B466" s="1"/>
      <c r="C466" s="1"/>
    </row>
    <row r="467" spans="1:3" x14ac:dyDescent="0.25">
      <c r="A467" s="1"/>
      <c r="B467" s="1"/>
      <c r="C467" s="1"/>
    </row>
    <row r="468" spans="1:3" x14ac:dyDescent="0.25">
      <c r="A468" s="1"/>
      <c r="B468" s="1"/>
      <c r="C468" s="1"/>
    </row>
    <row r="469" spans="1:3" x14ac:dyDescent="0.25">
      <c r="A469" s="1"/>
      <c r="B469" s="1"/>
      <c r="C469" s="1"/>
    </row>
    <row r="470" spans="1:3" x14ac:dyDescent="0.25">
      <c r="A470" s="1"/>
      <c r="B470" s="1"/>
      <c r="C470" s="1"/>
    </row>
    <row r="471" spans="1:3" x14ac:dyDescent="0.25">
      <c r="A471" s="1"/>
      <c r="B471" s="1"/>
      <c r="C471" s="1"/>
    </row>
    <row r="472" spans="1:3" x14ac:dyDescent="0.25">
      <c r="A472" s="1"/>
      <c r="B472" s="1"/>
      <c r="C472" s="1"/>
    </row>
    <row r="473" spans="1:3" x14ac:dyDescent="0.25">
      <c r="A473" s="1"/>
      <c r="B473" s="1"/>
      <c r="C473" s="1"/>
    </row>
    <row r="474" spans="1:3" x14ac:dyDescent="0.25">
      <c r="A474" s="1"/>
      <c r="B474" s="1"/>
      <c r="C474" s="1"/>
    </row>
    <row r="475" spans="1:3" x14ac:dyDescent="0.25">
      <c r="A475" s="1"/>
      <c r="B475" s="1"/>
      <c r="C475" s="1"/>
    </row>
    <row r="476" spans="1:3" x14ac:dyDescent="0.25">
      <c r="A476" s="1"/>
      <c r="B476" s="1"/>
      <c r="C476" s="1"/>
    </row>
    <row r="477" spans="1:3" x14ac:dyDescent="0.25">
      <c r="A477" s="1"/>
      <c r="B477" s="1"/>
      <c r="C477" s="1"/>
    </row>
    <row r="478" spans="1:3" x14ac:dyDescent="0.25">
      <c r="A478" s="1"/>
      <c r="B478" s="1"/>
      <c r="C478" s="1"/>
    </row>
    <row r="479" spans="1:3" x14ac:dyDescent="0.25">
      <c r="A479" s="1"/>
      <c r="B479" s="1"/>
      <c r="C479" s="1"/>
    </row>
    <row r="480" spans="1:3" x14ac:dyDescent="0.25">
      <c r="A480" s="1"/>
      <c r="B480" s="1"/>
      <c r="C480" s="1"/>
    </row>
    <row r="481" spans="1:3" x14ac:dyDescent="0.25">
      <c r="A481" s="1"/>
      <c r="B481" s="1"/>
      <c r="C481" s="1"/>
    </row>
    <row r="482" spans="1:3" x14ac:dyDescent="0.25">
      <c r="A482" s="1"/>
      <c r="B482" s="1"/>
      <c r="C482" s="1"/>
    </row>
    <row r="483" spans="1:3" x14ac:dyDescent="0.25">
      <c r="A483" s="1"/>
      <c r="B483" s="1"/>
      <c r="C483" s="1"/>
    </row>
    <row r="484" spans="1:3" x14ac:dyDescent="0.25">
      <c r="A484" s="1"/>
      <c r="B484" s="1"/>
      <c r="C484" s="1"/>
    </row>
    <row r="485" spans="1:3" x14ac:dyDescent="0.25">
      <c r="A485" s="1"/>
      <c r="B485" s="1"/>
      <c r="C485" s="1"/>
    </row>
    <row r="486" spans="1:3" x14ac:dyDescent="0.25">
      <c r="A486" s="1"/>
      <c r="B486" s="1"/>
      <c r="C486" s="1"/>
    </row>
    <row r="487" spans="1:3" x14ac:dyDescent="0.25">
      <c r="A487" s="1"/>
      <c r="B487" s="1"/>
      <c r="C487" s="1"/>
    </row>
    <row r="488" spans="1:3" x14ac:dyDescent="0.25">
      <c r="A488" s="1"/>
      <c r="B488" s="1"/>
      <c r="C488" s="1"/>
    </row>
    <row r="489" spans="1:3" x14ac:dyDescent="0.25">
      <c r="A489" s="1"/>
      <c r="B489" s="1"/>
      <c r="C489" s="1"/>
    </row>
    <row r="490" spans="1:3" x14ac:dyDescent="0.25">
      <c r="A490" s="1"/>
      <c r="B490" s="1"/>
      <c r="C490" s="1"/>
    </row>
    <row r="491" spans="1:3" x14ac:dyDescent="0.25">
      <c r="A491" s="1"/>
      <c r="B491" s="1"/>
      <c r="C491" s="1"/>
    </row>
    <row r="492" spans="1:3" x14ac:dyDescent="0.25">
      <c r="A492" s="1"/>
      <c r="B492" s="1"/>
      <c r="C492" s="1"/>
    </row>
    <row r="493" spans="1:3" x14ac:dyDescent="0.25">
      <c r="A493" s="1"/>
      <c r="B493" s="1"/>
      <c r="C493" s="1"/>
    </row>
    <row r="494" spans="1:3" x14ac:dyDescent="0.25">
      <c r="A494" s="1"/>
      <c r="B494" s="1"/>
      <c r="C494" s="1"/>
    </row>
    <row r="495" spans="1:3" x14ac:dyDescent="0.25">
      <c r="A495" s="1"/>
      <c r="B495" s="1"/>
      <c r="C495" s="1"/>
    </row>
    <row r="496" spans="1:3" x14ac:dyDescent="0.25">
      <c r="A496" s="1"/>
      <c r="B496" s="1"/>
      <c r="C496" s="1"/>
    </row>
    <row r="497" spans="1:3" x14ac:dyDescent="0.25">
      <c r="A497" s="1"/>
      <c r="B497" s="1"/>
      <c r="C497" s="1"/>
    </row>
    <row r="498" spans="1:3" x14ac:dyDescent="0.25">
      <c r="A498" s="1"/>
      <c r="B498" s="1"/>
      <c r="C498" s="1"/>
    </row>
    <row r="499" spans="1:3" x14ac:dyDescent="0.25">
      <c r="A499" s="1"/>
      <c r="B499" s="1"/>
      <c r="C499" s="1"/>
    </row>
    <row r="500" spans="1:3" x14ac:dyDescent="0.25">
      <c r="A500" s="1"/>
      <c r="B500" s="1"/>
      <c r="C500" s="1"/>
    </row>
    <row r="501" spans="1:3" x14ac:dyDescent="0.25">
      <c r="A501" s="1"/>
      <c r="B501" s="1"/>
      <c r="C501" s="1"/>
    </row>
    <row r="502" spans="1:3" x14ac:dyDescent="0.25">
      <c r="A502" s="1"/>
      <c r="B502" s="1"/>
      <c r="C502" s="1"/>
    </row>
    <row r="503" spans="1:3" x14ac:dyDescent="0.25">
      <c r="A503" s="1"/>
      <c r="B503" s="1"/>
      <c r="C503" s="1"/>
    </row>
    <row r="504" spans="1:3" x14ac:dyDescent="0.25">
      <c r="A504" s="1"/>
      <c r="B504" s="1"/>
      <c r="C504" s="1"/>
    </row>
    <row r="505" spans="1:3" x14ac:dyDescent="0.25">
      <c r="A505" s="1"/>
      <c r="B505" s="1"/>
      <c r="C505" s="1"/>
    </row>
    <row r="506" spans="1:3" x14ac:dyDescent="0.25">
      <c r="A506" s="1"/>
      <c r="B506" s="1"/>
      <c r="C506" s="1"/>
    </row>
    <row r="507" spans="1:3" x14ac:dyDescent="0.25">
      <c r="A507" s="1"/>
      <c r="B507" s="1"/>
      <c r="C507" s="1"/>
    </row>
    <row r="508" spans="1:3" x14ac:dyDescent="0.25">
      <c r="A508" s="1"/>
      <c r="B508" s="1"/>
      <c r="C508" s="1"/>
    </row>
    <row r="509" spans="1:3" x14ac:dyDescent="0.25">
      <c r="A509" s="1"/>
      <c r="B509" s="1"/>
      <c r="C509" s="1"/>
    </row>
    <row r="510" spans="1:3" x14ac:dyDescent="0.25">
      <c r="A510" s="1"/>
      <c r="B510" s="1"/>
      <c r="C510" s="1"/>
    </row>
    <row r="511" spans="1:3" x14ac:dyDescent="0.25">
      <c r="A511" s="1"/>
      <c r="B511" s="1"/>
      <c r="C511" s="1"/>
    </row>
    <row r="512" spans="1:3" x14ac:dyDescent="0.25">
      <c r="A512" s="1"/>
      <c r="B512" s="1"/>
      <c r="C512" s="1"/>
    </row>
    <row r="513" spans="1:3" x14ac:dyDescent="0.25">
      <c r="A513" s="1"/>
      <c r="B513" s="1"/>
      <c r="C513" s="1"/>
    </row>
    <row r="514" spans="1:3" x14ac:dyDescent="0.25">
      <c r="A514" s="1"/>
      <c r="B514" s="1"/>
      <c r="C514" s="1"/>
    </row>
    <row r="515" spans="1:3" x14ac:dyDescent="0.25">
      <c r="A515" s="1"/>
      <c r="B515" s="1"/>
      <c r="C515" s="1"/>
    </row>
    <row r="516" spans="1:3" x14ac:dyDescent="0.25">
      <c r="A516" s="1"/>
      <c r="B516" s="1"/>
      <c r="C516" s="1"/>
    </row>
    <row r="517" spans="1:3" x14ac:dyDescent="0.25">
      <c r="A517" s="1"/>
      <c r="B517" s="1"/>
      <c r="C517" s="1"/>
    </row>
    <row r="518" spans="1:3" x14ac:dyDescent="0.25">
      <c r="A518" s="1"/>
      <c r="B518" s="1"/>
      <c r="C518" s="1"/>
    </row>
    <row r="519" spans="1:3" x14ac:dyDescent="0.25">
      <c r="A519" s="1"/>
      <c r="B519" s="1"/>
      <c r="C519" s="1"/>
    </row>
    <row r="520" spans="1:3" x14ac:dyDescent="0.25">
      <c r="A520" s="1"/>
      <c r="B520" s="1"/>
      <c r="C520" s="1"/>
    </row>
    <row r="521" spans="1:3" x14ac:dyDescent="0.25">
      <c r="A521" s="1"/>
      <c r="B521" s="1"/>
      <c r="C521" s="1"/>
    </row>
    <row r="522" spans="1:3" x14ac:dyDescent="0.25">
      <c r="A522" s="1"/>
      <c r="B522" s="1"/>
      <c r="C522" s="1"/>
    </row>
    <row r="523" spans="1:3" x14ac:dyDescent="0.25">
      <c r="A523" s="1"/>
      <c r="B523" s="1"/>
      <c r="C523" s="1"/>
    </row>
    <row r="524" spans="1:3" x14ac:dyDescent="0.25">
      <c r="A524" s="1"/>
      <c r="B524" s="1"/>
      <c r="C524" s="1"/>
    </row>
    <row r="525" spans="1:3" x14ac:dyDescent="0.25">
      <c r="A525" s="1"/>
      <c r="B525" s="1"/>
      <c r="C525" s="1"/>
    </row>
    <row r="526" spans="1:3" x14ac:dyDescent="0.25">
      <c r="A526" s="1"/>
      <c r="B526" s="1"/>
      <c r="C526" s="1"/>
    </row>
    <row r="527" spans="1:3" x14ac:dyDescent="0.25">
      <c r="A527" s="1"/>
      <c r="B527" s="1"/>
      <c r="C527" s="1"/>
    </row>
    <row r="528" spans="1:3" x14ac:dyDescent="0.25">
      <c r="A528" s="1"/>
      <c r="B528" s="1"/>
      <c r="C528" s="1"/>
    </row>
    <row r="529" spans="1:3" x14ac:dyDescent="0.25">
      <c r="A529" s="1"/>
      <c r="B529" s="1"/>
      <c r="C529" s="1"/>
    </row>
    <row r="530" spans="1:3" x14ac:dyDescent="0.25">
      <c r="A530" s="1"/>
      <c r="B530" s="1"/>
      <c r="C530" s="1"/>
    </row>
    <row r="531" spans="1:3" x14ac:dyDescent="0.25">
      <c r="A531" s="1"/>
      <c r="B531" s="1"/>
      <c r="C531" s="1"/>
    </row>
    <row r="532" spans="1:3" x14ac:dyDescent="0.25">
      <c r="A532" s="1"/>
      <c r="B532" s="1"/>
      <c r="C532" s="1"/>
    </row>
    <row r="533" spans="1:3" x14ac:dyDescent="0.25">
      <c r="A533" s="1"/>
      <c r="B533" s="1"/>
      <c r="C533" s="1"/>
    </row>
    <row r="534" spans="1:3" x14ac:dyDescent="0.25">
      <c r="A534" s="1"/>
      <c r="B534" s="1"/>
      <c r="C534" s="1"/>
    </row>
    <row r="535" spans="1:3" x14ac:dyDescent="0.25">
      <c r="A535" s="1"/>
      <c r="B535" s="1"/>
      <c r="C535" s="1"/>
    </row>
    <row r="536" spans="1:3" x14ac:dyDescent="0.25">
      <c r="A536" s="1"/>
      <c r="B536" s="1"/>
      <c r="C536" s="1"/>
    </row>
    <row r="537" spans="1:3" x14ac:dyDescent="0.25">
      <c r="A537" s="1"/>
      <c r="B537" s="1"/>
      <c r="C537" s="1"/>
    </row>
    <row r="538" spans="1:3" x14ac:dyDescent="0.25">
      <c r="A538" s="1"/>
      <c r="B538" s="1"/>
      <c r="C538" s="1"/>
    </row>
    <row r="539" spans="1:3" x14ac:dyDescent="0.25">
      <c r="A539" s="1"/>
      <c r="B539" s="1"/>
      <c r="C539" s="1"/>
    </row>
    <row r="540" spans="1:3" x14ac:dyDescent="0.25">
      <c r="A540" s="1"/>
      <c r="B540" s="1"/>
      <c r="C540" s="1"/>
    </row>
    <row r="541" spans="1:3" x14ac:dyDescent="0.25">
      <c r="A541" s="1"/>
      <c r="B541" s="1"/>
      <c r="C541" s="1"/>
    </row>
    <row r="542" spans="1:3" x14ac:dyDescent="0.25">
      <c r="A542" s="1"/>
      <c r="B542" s="1"/>
      <c r="C542" s="1"/>
    </row>
    <row r="543" spans="1:3" x14ac:dyDescent="0.25">
      <c r="A543" s="1"/>
      <c r="B543" s="1"/>
      <c r="C543" s="1"/>
    </row>
    <row r="544" spans="1:3" x14ac:dyDescent="0.25">
      <c r="A544" s="1"/>
      <c r="B544" s="1"/>
      <c r="C544" s="1"/>
    </row>
    <row r="545" spans="1:3" x14ac:dyDescent="0.25">
      <c r="A545" s="1"/>
      <c r="B545" s="1"/>
      <c r="C545" s="1"/>
    </row>
    <row r="546" spans="1:3" x14ac:dyDescent="0.25">
      <c r="A546" s="1"/>
      <c r="B546" s="1"/>
      <c r="C546" s="1"/>
    </row>
    <row r="547" spans="1:3" x14ac:dyDescent="0.25">
      <c r="A547" s="1"/>
      <c r="B547" s="1"/>
      <c r="C547" s="1"/>
    </row>
    <row r="548" spans="1:3" x14ac:dyDescent="0.25">
      <c r="A548" s="1"/>
      <c r="B548" s="1"/>
      <c r="C548" s="1"/>
    </row>
    <row r="549" spans="1:3" x14ac:dyDescent="0.25">
      <c r="A549" s="1"/>
      <c r="B549" s="1"/>
      <c r="C549" s="1"/>
    </row>
    <row r="550" spans="1:3" x14ac:dyDescent="0.25">
      <c r="A550" s="1"/>
      <c r="B550" s="1"/>
      <c r="C550" s="1"/>
    </row>
    <row r="551" spans="1:3" x14ac:dyDescent="0.25">
      <c r="A551" s="1"/>
      <c r="B551" s="1"/>
      <c r="C551" s="1"/>
    </row>
    <row r="552" spans="1:3" x14ac:dyDescent="0.25">
      <c r="A552" s="1"/>
      <c r="B552" s="1"/>
      <c r="C552" s="1"/>
    </row>
    <row r="553" spans="1:3" x14ac:dyDescent="0.25">
      <c r="A553" s="1"/>
      <c r="B553" s="1"/>
      <c r="C553" s="1"/>
    </row>
    <row r="554" spans="1:3" x14ac:dyDescent="0.25">
      <c r="A554" s="1"/>
      <c r="B554" s="1"/>
      <c r="C554" s="1"/>
    </row>
    <row r="555" spans="1:3" x14ac:dyDescent="0.25">
      <c r="A555" s="1"/>
      <c r="B555" s="1"/>
      <c r="C555" s="1"/>
    </row>
    <row r="556" spans="1:3" x14ac:dyDescent="0.25">
      <c r="A556" s="1"/>
      <c r="B556" s="1"/>
      <c r="C556" s="1"/>
    </row>
    <row r="557" spans="1:3" x14ac:dyDescent="0.25">
      <c r="A557" s="1"/>
      <c r="B557" s="1"/>
      <c r="C557" s="1"/>
    </row>
    <row r="558" spans="1:3" x14ac:dyDescent="0.25">
      <c r="A558" s="1"/>
      <c r="B558" s="1"/>
      <c r="C558" s="1"/>
    </row>
    <row r="559" spans="1:3" x14ac:dyDescent="0.25">
      <c r="A559" s="1"/>
      <c r="B559" s="1"/>
      <c r="C559" s="1"/>
    </row>
    <row r="560" spans="1:3" x14ac:dyDescent="0.25">
      <c r="A560" s="1"/>
      <c r="B560" s="1"/>
      <c r="C560" s="1"/>
    </row>
    <row r="561" spans="1:3" x14ac:dyDescent="0.25">
      <c r="A561" s="1"/>
      <c r="B561" s="1"/>
      <c r="C561" s="1"/>
    </row>
    <row r="562" spans="1:3" x14ac:dyDescent="0.25">
      <c r="A562" s="1"/>
      <c r="B562" s="1"/>
      <c r="C562" s="1"/>
    </row>
    <row r="563" spans="1:3" x14ac:dyDescent="0.25">
      <c r="A563" s="1"/>
      <c r="B563" s="1"/>
      <c r="C563" s="1"/>
    </row>
    <row r="564" spans="1:3" x14ac:dyDescent="0.25">
      <c r="A564" s="1"/>
      <c r="B564" s="1"/>
      <c r="C564" s="1"/>
    </row>
    <row r="565" spans="1:3" x14ac:dyDescent="0.25">
      <c r="A565" s="1"/>
      <c r="B565" s="1"/>
      <c r="C565" s="1"/>
    </row>
    <row r="566" spans="1:3" x14ac:dyDescent="0.25">
      <c r="A566" s="1"/>
      <c r="B566" s="1"/>
      <c r="C566" s="1"/>
    </row>
    <row r="567" spans="1:3" x14ac:dyDescent="0.25">
      <c r="A567" s="1"/>
      <c r="B567" s="1"/>
      <c r="C567" s="1"/>
    </row>
    <row r="568" spans="1:3" x14ac:dyDescent="0.25">
      <c r="A568" s="1"/>
      <c r="B568" s="1"/>
      <c r="C568" s="1"/>
    </row>
    <row r="569" spans="1:3" x14ac:dyDescent="0.25">
      <c r="A569" s="1"/>
      <c r="B569" s="1"/>
      <c r="C569" s="1"/>
    </row>
    <row r="570" spans="1:3" x14ac:dyDescent="0.25">
      <c r="A570" s="1"/>
      <c r="B570" s="1"/>
      <c r="C570" s="1"/>
    </row>
    <row r="571" spans="1:3" x14ac:dyDescent="0.25">
      <c r="A571" s="1"/>
      <c r="B571" s="1"/>
      <c r="C571" s="1"/>
    </row>
    <row r="572" spans="1:3" x14ac:dyDescent="0.25">
      <c r="A572" s="1"/>
      <c r="B572" s="1"/>
      <c r="C572" s="1"/>
    </row>
    <row r="573" spans="1:3" x14ac:dyDescent="0.25">
      <c r="A573" s="1"/>
      <c r="B573" s="1"/>
      <c r="C573" s="1"/>
    </row>
    <row r="574" spans="1:3" x14ac:dyDescent="0.25">
      <c r="A574" s="1"/>
      <c r="B574" s="1"/>
      <c r="C574" s="1"/>
    </row>
    <row r="575" spans="1:3" x14ac:dyDescent="0.25">
      <c r="A575" s="1"/>
      <c r="B575" s="1"/>
      <c r="C575" s="1"/>
    </row>
    <row r="576" spans="1:3" x14ac:dyDescent="0.25">
      <c r="A576" s="1"/>
      <c r="B576" s="1"/>
      <c r="C576" s="1"/>
    </row>
    <row r="577" spans="1:3" x14ac:dyDescent="0.25">
      <c r="A577" s="1"/>
      <c r="B577" s="1"/>
      <c r="C577" s="1"/>
    </row>
    <row r="578" spans="1:3" x14ac:dyDescent="0.25">
      <c r="A578" s="1"/>
      <c r="B578" s="1"/>
      <c r="C578" s="1"/>
    </row>
    <row r="579" spans="1:3" x14ac:dyDescent="0.25">
      <c r="A579" s="1"/>
      <c r="B579" s="1"/>
      <c r="C579" s="1"/>
    </row>
    <row r="580" spans="1:3" x14ac:dyDescent="0.25">
      <c r="A580" s="1"/>
      <c r="B580" s="1"/>
      <c r="C580" s="1"/>
    </row>
    <row r="581" spans="1:3" x14ac:dyDescent="0.25">
      <c r="A581" s="1"/>
      <c r="B581" s="1"/>
      <c r="C581" s="1"/>
    </row>
    <row r="582" spans="1:3" x14ac:dyDescent="0.25">
      <c r="A582" s="1"/>
      <c r="B582" s="1"/>
      <c r="C582" s="1"/>
    </row>
    <row r="583" spans="1:3" x14ac:dyDescent="0.25">
      <c r="A583" s="1"/>
      <c r="B583" s="1"/>
      <c r="C583" s="1"/>
    </row>
    <row r="584" spans="1:3" x14ac:dyDescent="0.25">
      <c r="A584" s="1"/>
      <c r="B584" s="1"/>
      <c r="C584" s="1"/>
    </row>
    <row r="585" spans="1:3" x14ac:dyDescent="0.25">
      <c r="A585" s="1"/>
      <c r="B585" s="1"/>
      <c r="C585" s="1"/>
    </row>
    <row r="586" spans="1:3" x14ac:dyDescent="0.25">
      <c r="A586" s="1"/>
      <c r="B586" s="1"/>
      <c r="C586" s="1"/>
    </row>
    <row r="587" spans="1:3" x14ac:dyDescent="0.25">
      <c r="A587" s="1"/>
      <c r="B587" s="1"/>
      <c r="C587" s="1"/>
    </row>
    <row r="588" spans="1:3" x14ac:dyDescent="0.25">
      <c r="A588" s="1"/>
      <c r="B588" s="1"/>
      <c r="C588" s="1"/>
    </row>
    <row r="589" spans="1:3" x14ac:dyDescent="0.25">
      <c r="A589" s="1"/>
      <c r="B589" s="1"/>
      <c r="C589" s="1"/>
    </row>
    <row r="590" spans="1:3" x14ac:dyDescent="0.25">
      <c r="A590" s="1"/>
      <c r="B590" s="1"/>
      <c r="C590" s="1"/>
    </row>
    <row r="591" spans="1:3" x14ac:dyDescent="0.25">
      <c r="A591" s="1"/>
      <c r="B591" s="1"/>
      <c r="C591" s="1"/>
    </row>
    <row r="592" spans="1:3" x14ac:dyDescent="0.25">
      <c r="A592" s="1"/>
      <c r="B592" s="1"/>
      <c r="C592" s="1"/>
    </row>
    <row r="593" spans="1:3" x14ac:dyDescent="0.25">
      <c r="A593" s="1"/>
      <c r="B593" s="1"/>
      <c r="C593" s="1"/>
    </row>
    <row r="594" spans="1:3" x14ac:dyDescent="0.25">
      <c r="A594" s="1"/>
      <c r="B594" s="1"/>
      <c r="C594" s="1"/>
    </row>
    <row r="595" spans="1:3" x14ac:dyDescent="0.25">
      <c r="A595" s="1"/>
      <c r="B595" s="1"/>
      <c r="C595" s="1"/>
    </row>
    <row r="596" spans="1:3" x14ac:dyDescent="0.25">
      <c r="A596" s="1"/>
      <c r="B596" s="1"/>
      <c r="C596" s="1"/>
    </row>
    <row r="597" spans="1:3" x14ac:dyDescent="0.25">
      <c r="A597" s="1"/>
      <c r="B597" s="1"/>
      <c r="C597" s="1"/>
    </row>
    <row r="598" spans="1:3" x14ac:dyDescent="0.25">
      <c r="A598" s="1"/>
      <c r="B598" s="1"/>
      <c r="C598" s="1"/>
    </row>
    <row r="599" spans="1:3" x14ac:dyDescent="0.25">
      <c r="A599" s="1"/>
      <c r="B599" s="1"/>
      <c r="C599" s="1"/>
    </row>
    <row r="600" spans="1:3" x14ac:dyDescent="0.25">
      <c r="A600" s="1"/>
      <c r="B600" s="1"/>
      <c r="C600" s="1"/>
    </row>
    <row r="601" spans="1:3" x14ac:dyDescent="0.25">
      <c r="A601" s="1"/>
      <c r="B601" s="1"/>
      <c r="C601" s="1"/>
    </row>
    <row r="602" spans="1:3" x14ac:dyDescent="0.25">
      <c r="A602" s="1"/>
      <c r="B602" s="1"/>
      <c r="C602" s="1"/>
    </row>
    <row r="603" spans="1:3" x14ac:dyDescent="0.25">
      <c r="A603" s="1"/>
      <c r="B603" s="1"/>
      <c r="C603" s="1"/>
    </row>
    <row r="604" spans="1:3" x14ac:dyDescent="0.25">
      <c r="A604" s="1"/>
      <c r="B604" s="1"/>
      <c r="C604" s="1"/>
    </row>
    <row r="605" spans="1:3" x14ac:dyDescent="0.25">
      <c r="A605" s="1"/>
      <c r="B605" s="1"/>
      <c r="C605" s="1"/>
    </row>
    <row r="606" spans="1:3" x14ac:dyDescent="0.25">
      <c r="A606" s="1"/>
      <c r="B606" s="1"/>
      <c r="C606" s="1"/>
    </row>
    <row r="607" spans="1:3" x14ac:dyDescent="0.25">
      <c r="A607" s="1"/>
      <c r="B607" s="1"/>
      <c r="C607" s="1"/>
    </row>
    <row r="608" spans="1:3" x14ac:dyDescent="0.25">
      <c r="A608" s="1"/>
      <c r="B608" s="1"/>
      <c r="C608" s="1"/>
    </row>
    <row r="609" spans="1:3" x14ac:dyDescent="0.25">
      <c r="A609" s="1"/>
      <c r="B609" s="1"/>
      <c r="C609" s="1"/>
    </row>
    <row r="610" spans="1:3" x14ac:dyDescent="0.25">
      <c r="A610" s="1"/>
      <c r="B610" s="1"/>
      <c r="C610" s="1"/>
    </row>
    <row r="611" spans="1:3" x14ac:dyDescent="0.25">
      <c r="A611" s="1"/>
      <c r="B611" s="1"/>
      <c r="C611" s="1"/>
    </row>
    <row r="612" spans="1:3" x14ac:dyDescent="0.25">
      <c r="A612" s="1"/>
      <c r="B612" s="1"/>
      <c r="C612" s="1"/>
    </row>
    <row r="613" spans="1:3" x14ac:dyDescent="0.25">
      <c r="A613" s="1"/>
      <c r="B613" s="1"/>
      <c r="C613" s="1"/>
    </row>
    <row r="614" spans="1:3" x14ac:dyDescent="0.25">
      <c r="A614" s="1"/>
      <c r="B614" s="1"/>
      <c r="C614" s="1"/>
    </row>
    <row r="615" spans="1:3" x14ac:dyDescent="0.25">
      <c r="A615" s="1"/>
      <c r="B615" s="1"/>
      <c r="C615" s="1"/>
    </row>
    <row r="616" spans="1:3" x14ac:dyDescent="0.25">
      <c r="A616" s="1"/>
      <c r="B616" s="1"/>
      <c r="C616" s="1"/>
    </row>
    <row r="617" spans="1:3" x14ac:dyDescent="0.25">
      <c r="A617" s="1"/>
      <c r="B617" s="1"/>
      <c r="C617" s="1"/>
    </row>
    <row r="618" spans="1:3" x14ac:dyDescent="0.25">
      <c r="A618" s="1"/>
      <c r="B618" s="1"/>
      <c r="C618" s="1"/>
    </row>
    <row r="619" spans="1:3" x14ac:dyDescent="0.25">
      <c r="A619" s="1"/>
      <c r="B619" s="1"/>
      <c r="C619" s="1"/>
    </row>
    <row r="620" spans="1:3" x14ac:dyDescent="0.25">
      <c r="A620" s="1"/>
      <c r="B620" s="1"/>
      <c r="C620" s="1"/>
    </row>
    <row r="621" spans="1:3" x14ac:dyDescent="0.25">
      <c r="A621" s="1"/>
      <c r="B621" s="1"/>
      <c r="C621" s="1"/>
    </row>
    <row r="622" spans="1:3" x14ac:dyDescent="0.25">
      <c r="A622" s="1"/>
      <c r="B622" s="1"/>
      <c r="C622" s="1"/>
    </row>
    <row r="623" spans="1:3" x14ac:dyDescent="0.25">
      <c r="A623" s="1"/>
      <c r="B623" s="1"/>
      <c r="C623" s="1"/>
    </row>
    <row r="624" spans="1:3" x14ac:dyDescent="0.25">
      <c r="A624" s="1"/>
      <c r="B624" s="1"/>
      <c r="C624" s="1"/>
    </row>
    <row r="625" spans="1:3" x14ac:dyDescent="0.25">
      <c r="A625" s="1"/>
      <c r="B625" s="1"/>
      <c r="C625" s="1"/>
    </row>
    <row r="626" spans="1:3" x14ac:dyDescent="0.25">
      <c r="A626" s="1"/>
      <c r="B626" s="1"/>
      <c r="C626" s="1"/>
    </row>
    <row r="627" spans="1:3" x14ac:dyDescent="0.25">
      <c r="A627" s="1"/>
      <c r="B627" s="1"/>
      <c r="C627" s="1"/>
    </row>
    <row r="628" spans="1:3" x14ac:dyDescent="0.25">
      <c r="A628" s="1"/>
      <c r="B628" s="1"/>
      <c r="C628" s="1"/>
    </row>
    <row r="629" spans="1:3" x14ac:dyDescent="0.25">
      <c r="A629" s="1"/>
      <c r="B629" s="1"/>
      <c r="C629" s="1"/>
    </row>
    <row r="630" spans="1:3" x14ac:dyDescent="0.25">
      <c r="A630" s="1"/>
      <c r="B630" s="1"/>
      <c r="C630" s="1"/>
    </row>
    <row r="631" spans="1:3" x14ac:dyDescent="0.25">
      <c r="A631" s="1"/>
      <c r="B631" s="1"/>
      <c r="C631" s="1"/>
    </row>
    <row r="632" spans="1:3" x14ac:dyDescent="0.25">
      <c r="A632" s="1"/>
      <c r="B632" s="1"/>
      <c r="C632" s="1"/>
    </row>
    <row r="633" spans="1:3" x14ac:dyDescent="0.25">
      <c r="A633" s="1"/>
      <c r="B633" s="1"/>
      <c r="C633" s="1"/>
    </row>
    <row r="634" spans="1:3" x14ac:dyDescent="0.25">
      <c r="A634" s="1"/>
      <c r="B634" s="1"/>
      <c r="C634" s="1"/>
    </row>
    <row r="635" spans="1:3" x14ac:dyDescent="0.25">
      <c r="A635" s="1"/>
      <c r="B635" s="1"/>
      <c r="C635" s="1"/>
    </row>
    <row r="636" spans="1:3" x14ac:dyDescent="0.25">
      <c r="A636" s="1"/>
      <c r="B636" s="1"/>
      <c r="C636" s="1"/>
    </row>
    <row r="637" spans="1:3" x14ac:dyDescent="0.25">
      <c r="A637" s="1"/>
      <c r="B637" s="1"/>
      <c r="C637" s="1"/>
    </row>
    <row r="638" spans="1:3" x14ac:dyDescent="0.25">
      <c r="A638" s="1"/>
      <c r="B638" s="1"/>
      <c r="C638" s="1"/>
    </row>
    <row r="639" spans="1:3" x14ac:dyDescent="0.25">
      <c r="A639" s="1"/>
      <c r="B639" s="1"/>
      <c r="C639" s="1"/>
    </row>
    <row r="640" spans="1:3" x14ac:dyDescent="0.25">
      <c r="A640" s="1"/>
      <c r="B640" s="1"/>
      <c r="C640" s="1"/>
    </row>
    <row r="641" spans="1:3" x14ac:dyDescent="0.25">
      <c r="A641" s="1"/>
      <c r="B641" s="1"/>
      <c r="C641" s="1"/>
    </row>
    <row r="642" spans="1:3" x14ac:dyDescent="0.25">
      <c r="A642" s="1"/>
      <c r="B642" s="1"/>
      <c r="C642" s="1"/>
    </row>
    <row r="643" spans="1:3" x14ac:dyDescent="0.25">
      <c r="A643" s="1"/>
      <c r="B643" s="1"/>
      <c r="C643" s="1"/>
    </row>
    <row r="644" spans="1:3" x14ac:dyDescent="0.25">
      <c r="A644" s="1"/>
      <c r="B644" s="1"/>
      <c r="C644" s="1"/>
    </row>
    <row r="645" spans="1:3" x14ac:dyDescent="0.25">
      <c r="A645" s="1"/>
      <c r="B645" s="1"/>
      <c r="C645" s="1"/>
    </row>
    <row r="646" spans="1:3" x14ac:dyDescent="0.25">
      <c r="A646" s="1"/>
      <c r="B646" s="1"/>
      <c r="C646" s="1"/>
    </row>
    <row r="647" spans="1:3" x14ac:dyDescent="0.25">
      <c r="A647" s="1"/>
      <c r="B647" s="1"/>
      <c r="C647" s="1"/>
    </row>
    <row r="648" spans="1:3" x14ac:dyDescent="0.25">
      <c r="A648" s="1"/>
      <c r="B648" s="1"/>
      <c r="C648" s="1"/>
    </row>
    <row r="649" spans="1:3" x14ac:dyDescent="0.25">
      <c r="A649" s="1"/>
      <c r="B649" s="1"/>
      <c r="C649" s="1"/>
    </row>
    <row r="650" spans="1:3" x14ac:dyDescent="0.25">
      <c r="A650" s="1"/>
      <c r="B650" s="1"/>
      <c r="C650" s="1"/>
    </row>
    <row r="651" spans="1:3" x14ac:dyDescent="0.25">
      <c r="A651" s="1"/>
      <c r="B651" s="1"/>
      <c r="C651" s="1"/>
    </row>
    <row r="652" spans="1:3" x14ac:dyDescent="0.25">
      <c r="A652" s="1"/>
      <c r="B652" s="1"/>
      <c r="C652" s="1"/>
    </row>
    <row r="653" spans="1:3" x14ac:dyDescent="0.25">
      <c r="A653" s="1"/>
      <c r="B653" s="1"/>
      <c r="C653" s="1"/>
    </row>
    <row r="654" spans="1:3" x14ac:dyDescent="0.25">
      <c r="A654" s="1"/>
      <c r="B654" s="1"/>
      <c r="C654" s="1"/>
    </row>
    <row r="655" spans="1:3" x14ac:dyDescent="0.25">
      <c r="A655" s="1"/>
      <c r="B655" s="1"/>
      <c r="C655" s="1"/>
    </row>
    <row r="656" spans="1:3" x14ac:dyDescent="0.25">
      <c r="A656" s="1"/>
      <c r="B656" s="1"/>
      <c r="C656" s="1"/>
    </row>
    <row r="657" spans="1:3" x14ac:dyDescent="0.25">
      <c r="A657" s="1"/>
      <c r="B657" s="1"/>
      <c r="C657" s="1"/>
    </row>
    <row r="658" spans="1:3" x14ac:dyDescent="0.25">
      <c r="A658" s="1"/>
      <c r="B658" s="1"/>
      <c r="C658" s="1"/>
    </row>
    <row r="659" spans="1:3" x14ac:dyDescent="0.25">
      <c r="A659" s="1"/>
      <c r="B659" s="1"/>
      <c r="C659" s="1"/>
    </row>
    <row r="660" spans="1:3" x14ac:dyDescent="0.25">
      <c r="A660" s="1"/>
      <c r="B660" s="1"/>
      <c r="C660" s="1"/>
    </row>
    <row r="661" spans="1:3" x14ac:dyDescent="0.25">
      <c r="A661" s="1"/>
      <c r="B661" s="1"/>
      <c r="C661" s="1"/>
    </row>
    <row r="662" spans="1:3" x14ac:dyDescent="0.25">
      <c r="A662" s="1"/>
      <c r="B662" s="1"/>
      <c r="C662" s="1"/>
    </row>
    <row r="663" spans="1:3" x14ac:dyDescent="0.25">
      <c r="A663" s="1"/>
      <c r="B663" s="1"/>
      <c r="C663" s="1"/>
    </row>
    <row r="664" spans="1:3" x14ac:dyDescent="0.25">
      <c r="A664" s="1"/>
      <c r="B664" s="1"/>
      <c r="C664" s="1"/>
    </row>
    <row r="665" spans="1:3" x14ac:dyDescent="0.25">
      <c r="A665" s="1"/>
      <c r="B665" s="1"/>
      <c r="C665" s="1"/>
    </row>
    <row r="666" spans="1:3" x14ac:dyDescent="0.25">
      <c r="A666" s="1"/>
      <c r="B666" s="1"/>
      <c r="C666" s="1"/>
    </row>
    <row r="667" spans="1:3" x14ac:dyDescent="0.25">
      <c r="A667" s="1"/>
      <c r="B667" s="1"/>
      <c r="C667" s="1"/>
    </row>
    <row r="668" spans="1:3" x14ac:dyDescent="0.25">
      <c r="A668" s="1"/>
      <c r="B668" s="1"/>
      <c r="C668" s="1"/>
    </row>
    <row r="669" spans="1:3" x14ac:dyDescent="0.25">
      <c r="A669" s="1"/>
      <c r="B669" s="1"/>
      <c r="C669" s="1"/>
    </row>
    <row r="670" spans="1:3" x14ac:dyDescent="0.25">
      <c r="A670" s="1"/>
      <c r="B670" s="1"/>
      <c r="C670" s="1"/>
    </row>
    <row r="671" spans="1:3" x14ac:dyDescent="0.25">
      <c r="A671" s="1"/>
      <c r="B671" s="1"/>
      <c r="C671" s="1"/>
    </row>
    <row r="672" spans="1:3" x14ac:dyDescent="0.25">
      <c r="A672" s="1"/>
      <c r="B672" s="1"/>
      <c r="C672" s="1"/>
    </row>
    <row r="673" spans="1:3" x14ac:dyDescent="0.25">
      <c r="A673" s="1"/>
      <c r="B673" s="1"/>
      <c r="C673" s="1"/>
    </row>
    <row r="674" spans="1:3" x14ac:dyDescent="0.25">
      <c r="A674" s="1"/>
      <c r="B674" s="1"/>
      <c r="C674" s="1"/>
    </row>
    <row r="675" spans="1:3" x14ac:dyDescent="0.25">
      <c r="A675" s="1"/>
      <c r="B675" s="1"/>
      <c r="C675" s="1"/>
    </row>
    <row r="676" spans="1:3" x14ac:dyDescent="0.25">
      <c r="A676" s="1"/>
      <c r="B676" s="1"/>
      <c r="C676" s="1"/>
    </row>
    <row r="677" spans="1:3" x14ac:dyDescent="0.25">
      <c r="A677" s="1"/>
      <c r="B677" s="1"/>
      <c r="C677" s="1"/>
    </row>
    <row r="678" spans="1:3" x14ac:dyDescent="0.25">
      <c r="A678" s="1"/>
      <c r="B678" s="1"/>
      <c r="C678" s="1"/>
    </row>
    <row r="679" spans="1:3" x14ac:dyDescent="0.25">
      <c r="A679" s="1"/>
      <c r="B679" s="1"/>
      <c r="C679" s="1"/>
    </row>
    <row r="680" spans="1:3" x14ac:dyDescent="0.25">
      <c r="A680" s="1"/>
      <c r="B680" s="1"/>
      <c r="C680" s="1"/>
    </row>
    <row r="681" spans="1:3" x14ac:dyDescent="0.25">
      <c r="A681" s="1"/>
      <c r="B681" s="1"/>
      <c r="C681" s="1"/>
    </row>
    <row r="682" spans="1:3" x14ac:dyDescent="0.25">
      <c r="A682" s="1"/>
      <c r="B682" s="1"/>
      <c r="C682" s="1"/>
    </row>
    <row r="683" spans="1:3" x14ac:dyDescent="0.25">
      <c r="A683" s="1"/>
      <c r="B683" s="1"/>
      <c r="C683" s="1"/>
    </row>
    <row r="684" spans="1:3" x14ac:dyDescent="0.25">
      <c r="A684" s="1"/>
      <c r="B684" s="1"/>
      <c r="C684" s="1"/>
    </row>
    <row r="685" spans="1:3" x14ac:dyDescent="0.25">
      <c r="A685" s="1"/>
      <c r="B685" s="1"/>
      <c r="C685" s="1"/>
    </row>
    <row r="686" spans="1:3" x14ac:dyDescent="0.25">
      <c r="A686" s="1"/>
      <c r="B686" s="1"/>
      <c r="C686" s="1"/>
    </row>
    <row r="687" spans="1:3" x14ac:dyDescent="0.25">
      <c r="A687" s="1"/>
      <c r="B687" s="1"/>
      <c r="C687" s="1"/>
    </row>
    <row r="688" spans="1:3" x14ac:dyDescent="0.25">
      <c r="A688" s="1"/>
      <c r="B688" s="1"/>
      <c r="C688" s="1"/>
    </row>
    <row r="689" spans="1:3" x14ac:dyDescent="0.25">
      <c r="A689" s="1"/>
      <c r="B689" s="1"/>
      <c r="C689" s="1"/>
    </row>
    <row r="690" spans="1:3" x14ac:dyDescent="0.25">
      <c r="A690" s="1"/>
      <c r="B690" s="1"/>
      <c r="C690" s="1"/>
    </row>
    <row r="691" spans="1:3" x14ac:dyDescent="0.25">
      <c r="A691" s="1"/>
      <c r="B691" s="1"/>
      <c r="C691" s="1"/>
    </row>
    <row r="692" spans="1:3" x14ac:dyDescent="0.25">
      <c r="A692" s="1"/>
      <c r="B692" s="1"/>
      <c r="C692" s="1"/>
    </row>
    <row r="693" spans="1:3" x14ac:dyDescent="0.25">
      <c r="A693" s="1"/>
      <c r="B693" s="1"/>
      <c r="C693" s="1"/>
    </row>
    <row r="694" spans="1:3" x14ac:dyDescent="0.25">
      <c r="A694" s="1"/>
      <c r="B694" s="1"/>
      <c r="C694" s="1"/>
    </row>
    <row r="695" spans="1:3" x14ac:dyDescent="0.25">
      <c r="A695" s="1"/>
      <c r="B695" s="1"/>
      <c r="C695" s="1"/>
    </row>
    <row r="696" spans="1:3" x14ac:dyDescent="0.25">
      <c r="A696" s="1"/>
      <c r="B696" s="1"/>
      <c r="C696" s="1"/>
    </row>
    <row r="697" spans="1:3" x14ac:dyDescent="0.25">
      <c r="A697" s="1"/>
      <c r="B697" s="1"/>
      <c r="C697" s="1"/>
    </row>
    <row r="698" spans="1:3" x14ac:dyDescent="0.25">
      <c r="A698" s="1"/>
      <c r="B698" s="1"/>
      <c r="C698" s="1"/>
    </row>
    <row r="699" spans="1:3" x14ac:dyDescent="0.25">
      <c r="A699" s="1"/>
      <c r="B699" s="1"/>
      <c r="C699" s="1"/>
    </row>
    <row r="700" spans="1:3" x14ac:dyDescent="0.25">
      <c r="A700" s="1"/>
      <c r="B700" s="1"/>
      <c r="C700" s="1"/>
    </row>
    <row r="701" spans="1:3" x14ac:dyDescent="0.25">
      <c r="A701" s="1"/>
      <c r="B701" s="1"/>
      <c r="C701" s="1"/>
    </row>
    <row r="702" spans="1:3" x14ac:dyDescent="0.25">
      <c r="A702" s="1"/>
      <c r="B702" s="1"/>
      <c r="C702" s="1"/>
    </row>
    <row r="703" spans="1:3" x14ac:dyDescent="0.25">
      <c r="A703" s="1"/>
      <c r="B703" s="1"/>
      <c r="C703" s="1"/>
    </row>
    <row r="704" spans="1:3" x14ac:dyDescent="0.25">
      <c r="A704" s="1"/>
      <c r="B704" s="1"/>
      <c r="C704" s="1"/>
    </row>
    <row r="705" spans="1:3" x14ac:dyDescent="0.25">
      <c r="A705" s="1"/>
      <c r="B705" s="1"/>
      <c r="C705" s="1"/>
    </row>
    <row r="706" spans="1:3" x14ac:dyDescent="0.25">
      <c r="A706" s="1"/>
      <c r="B706" s="1"/>
      <c r="C706" s="1"/>
    </row>
    <row r="707" spans="1:3" x14ac:dyDescent="0.25">
      <c r="A707" s="1"/>
      <c r="B707" s="1"/>
      <c r="C707" s="1"/>
    </row>
    <row r="708" spans="1:3" x14ac:dyDescent="0.25">
      <c r="A708" s="1"/>
      <c r="B708" s="1"/>
      <c r="C708" s="1"/>
    </row>
    <row r="709" spans="1:3" x14ac:dyDescent="0.25">
      <c r="A709" s="1"/>
      <c r="B709" s="1"/>
      <c r="C709" s="1"/>
    </row>
    <row r="710" spans="1:3" x14ac:dyDescent="0.25">
      <c r="A710" s="1"/>
      <c r="B710" s="1"/>
      <c r="C710" s="1"/>
    </row>
    <row r="711" spans="1:3" x14ac:dyDescent="0.25">
      <c r="A711" s="1"/>
      <c r="B711" s="1"/>
      <c r="C711" s="1"/>
    </row>
    <row r="712" spans="1:3" x14ac:dyDescent="0.25">
      <c r="A712" s="1"/>
      <c r="B712" s="1"/>
      <c r="C712" s="1"/>
    </row>
    <row r="713" spans="1:3" x14ac:dyDescent="0.25">
      <c r="A713" s="1"/>
      <c r="B713" s="1"/>
      <c r="C713" s="1"/>
    </row>
    <row r="714" spans="1:3" x14ac:dyDescent="0.25">
      <c r="A714" s="1"/>
      <c r="B714" s="1"/>
      <c r="C714" s="1"/>
    </row>
    <row r="715" spans="1:3" x14ac:dyDescent="0.25">
      <c r="A715" s="1"/>
      <c r="B715" s="1"/>
      <c r="C715" s="1"/>
    </row>
    <row r="716" spans="1:3" x14ac:dyDescent="0.25">
      <c r="A716" s="1"/>
      <c r="B716" s="1"/>
      <c r="C716" s="1"/>
    </row>
    <row r="717" spans="1:3" x14ac:dyDescent="0.25">
      <c r="A717" s="1"/>
      <c r="B717" s="1"/>
      <c r="C717" s="1"/>
    </row>
    <row r="718" spans="1:3" x14ac:dyDescent="0.25">
      <c r="A718" s="1"/>
      <c r="B718" s="1"/>
      <c r="C718" s="1"/>
    </row>
    <row r="719" spans="1:3" x14ac:dyDescent="0.25">
      <c r="A719" s="1"/>
      <c r="B719" s="1"/>
      <c r="C719" s="1"/>
    </row>
    <row r="720" spans="1:3" x14ac:dyDescent="0.25">
      <c r="A720" s="1"/>
      <c r="B720" s="1"/>
      <c r="C720" s="1"/>
    </row>
    <row r="721" spans="1:3" x14ac:dyDescent="0.25">
      <c r="A721" s="1"/>
      <c r="B721" s="1"/>
      <c r="C721" s="1"/>
    </row>
    <row r="722" spans="1:3" x14ac:dyDescent="0.25">
      <c r="A722" s="1"/>
      <c r="B722" s="1"/>
      <c r="C722" s="1"/>
    </row>
    <row r="723" spans="1:3" x14ac:dyDescent="0.25">
      <c r="A723" s="1"/>
      <c r="B723" s="1"/>
      <c r="C723" s="1"/>
    </row>
    <row r="724" spans="1:3" x14ac:dyDescent="0.25">
      <c r="A724" s="1"/>
      <c r="B724" s="1"/>
      <c r="C724" s="1"/>
    </row>
    <row r="725" spans="1:3" x14ac:dyDescent="0.25">
      <c r="A725" s="1"/>
      <c r="B725" s="1"/>
      <c r="C725" s="1"/>
    </row>
    <row r="726" spans="1:3" x14ac:dyDescent="0.25">
      <c r="A726" s="1"/>
      <c r="B726" s="1"/>
      <c r="C726" s="1"/>
    </row>
    <row r="727" spans="1:3" x14ac:dyDescent="0.25">
      <c r="A727" s="1"/>
      <c r="B727" s="1"/>
      <c r="C727" s="1"/>
    </row>
    <row r="728" spans="1:3" x14ac:dyDescent="0.25">
      <c r="A728" s="1"/>
      <c r="B728" s="1"/>
      <c r="C728" s="1"/>
    </row>
    <row r="729" spans="1:3" x14ac:dyDescent="0.25">
      <c r="A729" s="1"/>
      <c r="B729" s="1"/>
      <c r="C729" s="1"/>
    </row>
    <row r="730" spans="1:3" x14ac:dyDescent="0.25">
      <c r="A730" s="1"/>
      <c r="B730" s="1"/>
      <c r="C730" s="1"/>
    </row>
    <row r="731" spans="1:3" x14ac:dyDescent="0.25">
      <c r="A731" s="1"/>
      <c r="B731" s="1"/>
      <c r="C731" s="1"/>
    </row>
    <row r="732" spans="1:3" x14ac:dyDescent="0.25">
      <c r="A732" s="1"/>
      <c r="B732" s="1"/>
      <c r="C732" s="1"/>
    </row>
    <row r="733" spans="1:3" x14ac:dyDescent="0.25">
      <c r="A733" s="1"/>
      <c r="B733" s="1"/>
      <c r="C733" s="1"/>
    </row>
    <row r="734" spans="1:3" x14ac:dyDescent="0.25">
      <c r="A734" s="1"/>
      <c r="B734" s="1"/>
      <c r="C734" s="1"/>
    </row>
    <row r="735" spans="1:3" x14ac:dyDescent="0.25">
      <c r="A735" s="1"/>
      <c r="B735" s="1"/>
      <c r="C735" s="1"/>
    </row>
    <row r="736" spans="1:3" x14ac:dyDescent="0.25">
      <c r="A736" s="1"/>
      <c r="B736" s="1"/>
      <c r="C736" s="1"/>
    </row>
    <row r="737" spans="1:3" x14ac:dyDescent="0.25">
      <c r="A737" s="1"/>
      <c r="B737" s="1"/>
      <c r="C737" s="1"/>
    </row>
    <row r="738" spans="1:3" x14ac:dyDescent="0.25">
      <c r="A738" s="1"/>
      <c r="B738" s="1"/>
      <c r="C738" s="1"/>
    </row>
    <row r="739" spans="1:3" x14ac:dyDescent="0.25">
      <c r="A739" s="1"/>
      <c r="B739" s="1"/>
      <c r="C739" s="1"/>
    </row>
    <row r="740" spans="1:3" x14ac:dyDescent="0.25">
      <c r="A740" s="1"/>
      <c r="B740" s="1"/>
      <c r="C740" s="1"/>
    </row>
    <row r="741" spans="1:3" x14ac:dyDescent="0.25">
      <c r="A741" s="1"/>
      <c r="B741" s="1"/>
      <c r="C741" s="1"/>
    </row>
    <row r="742" spans="1:3" x14ac:dyDescent="0.25">
      <c r="A742" s="1"/>
      <c r="B742" s="1"/>
      <c r="C742" s="1"/>
    </row>
    <row r="743" spans="1:3" x14ac:dyDescent="0.25">
      <c r="A743" s="1"/>
      <c r="B743" s="1"/>
      <c r="C743" s="1"/>
    </row>
    <row r="744" spans="1:3" x14ac:dyDescent="0.25">
      <c r="A744" s="1"/>
      <c r="B744" s="1"/>
      <c r="C744" s="1"/>
    </row>
    <row r="745" spans="1:3" x14ac:dyDescent="0.25">
      <c r="A745" s="1"/>
      <c r="B745" s="1"/>
      <c r="C745" s="1"/>
    </row>
    <row r="746" spans="1:3" x14ac:dyDescent="0.25">
      <c r="A746" s="1"/>
      <c r="B746" s="1"/>
      <c r="C746" s="1"/>
    </row>
    <row r="747" spans="1:3" x14ac:dyDescent="0.25">
      <c r="A747" s="1"/>
      <c r="B747" s="1"/>
      <c r="C747" s="1"/>
    </row>
    <row r="748" spans="1:3" x14ac:dyDescent="0.25">
      <c r="A748" s="1"/>
      <c r="B748" s="1"/>
      <c r="C748" s="1"/>
    </row>
    <row r="749" spans="1:3" x14ac:dyDescent="0.25">
      <c r="A749" s="1"/>
      <c r="B749" s="1"/>
      <c r="C749" s="1"/>
    </row>
    <row r="750" spans="1:3" x14ac:dyDescent="0.25">
      <c r="A750" s="1"/>
      <c r="B750" s="1"/>
      <c r="C750" s="1"/>
    </row>
    <row r="751" spans="1:3" x14ac:dyDescent="0.25">
      <c r="A751" s="1"/>
      <c r="B751" s="1"/>
      <c r="C751" s="1"/>
    </row>
    <row r="752" spans="1:3" x14ac:dyDescent="0.25">
      <c r="A752" s="1"/>
      <c r="B752" s="1"/>
      <c r="C752" s="1"/>
    </row>
    <row r="753" spans="1:3" x14ac:dyDescent="0.25">
      <c r="A753" s="1"/>
      <c r="B753" s="1"/>
      <c r="C753" s="1"/>
    </row>
    <row r="754" spans="1:3" x14ac:dyDescent="0.25">
      <c r="A754" s="1"/>
      <c r="B754" s="1"/>
      <c r="C754" s="1"/>
    </row>
    <row r="755" spans="1:3" x14ac:dyDescent="0.25">
      <c r="A755" s="1"/>
      <c r="B755" s="1"/>
      <c r="C755" s="1"/>
    </row>
    <row r="756" spans="1:3" x14ac:dyDescent="0.25">
      <c r="A756" s="1"/>
      <c r="B756" s="1"/>
      <c r="C756" s="1"/>
    </row>
    <row r="757" spans="1:3" x14ac:dyDescent="0.25">
      <c r="A757" s="1"/>
      <c r="B757" s="1"/>
      <c r="C757" s="1"/>
    </row>
    <row r="758" spans="1:3" x14ac:dyDescent="0.25">
      <c r="A758" s="1"/>
      <c r="B758" s="1"/>
      <c r="C758" s="1"/>
    </row>
    <row r="759" spans="1:3" x14ac:dyDescent="0.25">
      <c r="A759" s="1"/>
      <c r="B759" s="1"/>
      <c r="C759" s="1"/>
    </row>
    <row r="760" spans="1:3" x14ac:dyDescent="0.25">
      <c r="A760" s="1"/>
      <c r="B760" s="1"/>
      <c r="C760" s="1"/>
    </row>
    <row r="761" spans="1:3" x14ac:dyDescent="0.25">
      <c r="A761" s="1"/>
      <c r="B761" s="1"/>
      <c r="C761" s="1"/>
    </row>
    <row r="762" spans="1:3" x14ac:dyDescent="0.25">
      <c r="A762" s="1"/>
      <c r="B762" s="1"/>
      <c r="C762" s="1"/>
    </row>
    <row r="763" spans="1:3" x14ac:dyDescent="0.25">
      <c r="A763" s="1"/>
      <c r="B763" s="1"/>
      <c r="C763" s="1"/>
    </row>
    <row r="764" spans="1:3" x14ac:dyDescent="0.25">
      <c r="A764" s="1"/>
      <c r="B764" s="1"/>
      <c r="C764" s="1"/>
    </row>
    <row r="765" spans="1:3" x14ac:dyDescent="0.25">
      <c r="A765" s="1"/>
      <c r="B765" s="1"/>
      <c r="C765" s="1"/>
    </row>
    <row r="766" spans="1:3" x14ac:dyDescent="0.25">
      <c r="A766" s="1"/>
      <c r="B766" s="1"/>
      <c r="C766" s="1"/>
    </row>
    <row r="767" spans="1:3" x14ac:dyDescent="0.25">
      <c r="A767" s="1"/>
      <c r="B767" s="1"/>
      <c r="C767" s="1"/>
    </row>
    <row r="768" spans="1:3" x14ac:dyDescent="0.25">
      <c r="A768" s="1"/>
      <c r="B768" s="1"/>
      <c r="C768" s="1"/>
    </row>
    <row r="769" spans="1:3" x14ac:dyDescent="0.25">
      <c r="A769" s="1"/>
      <c r="B769" s="1"/>
      <c r="C769" s="1"/>
    </row>
    <row r="770" spans="1:3" x14ac:dyDescent="0.25">
      <c r="A770" s="1"/>
      <c r="B770" s="1"/>
      <c r="C770" s="1"/>
    </row>
    <row r="771" spans="1:3" x14ac:dyDescent="0.25">
      <c r="A771" s="1"/>
      <c r="B771" s="1"/>
      <c r="C771" s="1"/>
    </row>
    <row r="772" spans="1:3" x14ac:dyDescent="0.25">
      <c r="A772" s="1"/>
      <c r="B772" s="1"/>
      <c r="C772" s="1"/>
    </row>
    <row r="773" spans="1:3" x14ac:dyDescent="0.25">
      <c r="A773" s="1"/>
      <c r="B773" s="1"/>
      <c r="C773" s="1"/>
    </row>
    <row r="774" spans="1:3" x14ac:dyDescent="0.25">
      <c r="A774" s="1"/>
      <c r="B774" s="1"/>
      <c r="C774" s="1"/>
    </row>
    <row r="775" spans="1:3" x14ac:dyDescent="0.25">
      <c r="A775" s="1"/>
      <c r="B775" s="1"/>
      <c r="C775" s="1"/>
    </row>
    <row r="776" spans="1:3" x14ac:dyDescent="0.25">
      <c r="A776" s="1"/>
      <c r="B776" s="1"/>
      <c r="C776" s="1"/>
    </row>
    <row r="777" spans="1:3" x14ac:dyDescent="0.25">
      <c r="A777" s="1"/>
      <c r="B777" s="1"/>
      <c r="C777" s="1"/>
    </row>
    <row r="778" spans="1:3" x14ac:dyDescent="0.25">
      <c r="A778" s="1"/>
      <c r="B778" s="1"/>
      <c r="C778" s="1"/>
    </row>
    <row r="779" spans="1:3" x14ac:dyDescent="0.25">
      <c r="A779" s="1"/>
      <c r="B779" s="1"/>
      <c r="C779" s="1"/>
    </row>
    <row r="780" spans="1:3" x14ac:dyDescent="0.25">
      <c r="A780" s="1"/>
      <c r="B780" s="1"/>
      <c r="C780" s="1"/>
    </row>
    <row r="781" spans="1:3" x14ac:dyDescent="0.25">
      <c r="A781" s="1"/>
      <c r="B781" s="1"/>
      <c r="C781" s="1"/>
    </row>
    <row r="782" spans="1:3" x14ac:dyDescent="0.25">
      <c r="A782" s="1"/>
      <c r="B782" s="1"/>
      <c r="C782" s="1"/>
    </row>
    <row r="783" spans="1:3" x14ac:dyDescent="0.25">
      <c r="A783" s="1"/>
      <c r="B783" s="1"/>
      <c r="C783" s="1"/>
    </row>
    <row r="784" spans="1:3" x14ac:dyDescent="0.25">
      <c r="A784" s="1"/>
      <c r="B784" s="1"/>
      <c r="C784" s="1"/>
    </row>
    <row r="785" spans="1:3" x14ac:dyDescent="0.25">
      <c r="A785" s="1"/>
      <c r="B785" s="1"/>
      <c r="C785" s="1"/>
    </row>
    <row r="786" spans="1:3" x14ac:dyDescent="0.25">
      <c r="A786" s="1"/>
      <c r="B786" s="1"/>
      <c r="C786" s="1"/>
    </row>
    <row r="787" spans="1:3" x14ac:dyDescent="0.25">
      <c r="A787" s="1"/>
      <c r="B787" s="1"/>
      <c r="C787" s="1"/>
    </row>
    <row r="788" spans="1:3" x14ac:dyDescent="0.25">
      <c r="A788" s="1"/>
      <c r="B788" s="1"/>
      <c r="C788" s="1"/>
    </row>
    <row r="789" spans="1:3" x14ac:dyDescent="0.25">
      <c r="A789" s="1"/>
      <c r="B789" s="1"/>
      <c r="C789" s="1"/>
    </row>
    <row r="790" spans="1:3" x14ac:dyDescent="0.25">
      <c r="A790" s="1"/>
      <c r="B790" s="1"/>
      <c r="C790" s="1"/>
    </row>
    <row r="791" spans="1:3" x14ac:dyDescent="0.25">
      <c r="A791" s="1"/>
      <c r="B791" s="1"/>
      <c r="C791" s="1"/>
    </row>
    <row r="792" spans="1:3" x14ac:dyDescent="0.25">
      <c r="A792" s="1"/>
      <c r="B792" s="1"/>
      <c r="C792" s="1"/>
    </row>
    <row r="793" spans="1:3" x14ac:dyDescent="0.25">
      <c r="A793" s="1"/>
      <c r="B793" s="1"/>
      <c r="C793" s="1"/>
    </row>
    <row r="794" spans="1:3" x14ac:dyDescent="0.25">
      <c r="A794" s="1"/>
      <c r="B794" s="1"/>
      <c r="C794" s="1"/>
    </row>
    <row r="795" spans="1:3" x14ac:dyDescent="0.25">
      <c r="A795" s="1"/>
      <c r="B795" s="1"/>
      <c r="C795" s="1"/>
    </row>
    <row r="796" spans="1:3" x14ac:dyDescent="0.25">
      <c r="A796" s="1"/>
      <c r="B796" s="1"/>
      <c r="C796" s="1"/>
    </row>
    <row r="797" spans="1:3" x14ac:dyDescent="0.25">
      <c r="A797" s="1"/>
      <c r="B797" s="1"/>
      <c r="C797" s="1"/>
    </row>
    <row r="798" spans="1:3" x14ac:dyDescent="0.25">
      <c r="A798" s="1"/>
      <c r="B798" s="1"/>
      <c r="C798" s="1"/>
    </row>
    <row r="799" spans="1:3" x14ac:dyDescent="0.25">
      <c r="A799" s="1"/>
      <c r="B799" s="1"/>
      <c r="C799" s="1"/>
    </row>
    <row r="800" spans="1:3" x14ac:dyDescent="0.25">
      <c r="A800" s="1"/>
      <c r="B800" s="1"/>
      <c r="C800" s="1"/>
    </row>
    <row r="801" spans="1:3" x14ac:dyDescent="0.25">
      <c r="A801" s="1"/>
      <c r="B801" s="1"/>
      <c r="C801" s="1"/>
    </row>
    <row r="802" spans="1:3" x14ac:dyDescent="0.25">
      <c r="A802" s="1"/>
      <c r="B802" s="1"/>
      <c r="C802" s="1"/>
    </row>
    <row r="803" spans="1:3" x14ac:dyDescent="0.25">
      <c r="A803" s="1"/>
      <c r="B803" s="1"/>
      <c r="C803" s="1"/>
    </row>
    <row r="804" spans="1:3" x14ac:dyDescent="0.25">
      <c r="A804" s="1"/>
      <c r="B804" s="1"/>
      <c r="C804" s="1"/>
    </row>
    <row r="805" spans="1:3" x14ac:dyDescent="0.25">
      <c r="A805" s="1"/>
      <c r="B805" s="1"/>
      <c r="C805" s="1"/>
    </row>
    <row r="806" spans="1:3" x14ac:dyDescent="0.25">
      <c r="A806" s="1"/>
      <c r="B806" s="1"/>
      <c r="C806" s="1"/>
    </row>
    <row r="807" spans="1:3" x14ac:dyDescent="0.25">
      <c r="A807" s="1"/>
      <c r="B807" s="1"/>
      <c r="C807" s="1"/>
    </row>
    <row r="808" spans="1:3" x14ac:dyDescent="0.25">
      <c r="A808" s="1"/>
      <c r="B808" s="1"/>
      <c r="C808" s="1"/>
    </row>
    <row r="809" spans="1:3" x14ac:dyDescent="0.25">
      <c r="A809" s="1"/>
      <c r="B809" s="1"/>
      <c r="C809" s="1"/>
    </row>
    <row r="810" spans="1:3" x14ac:dyDescent="0.25">
      <c r="A810" s="1"/>
      <c r="B810" s="1"/>
      <c r="C810" s="1"/>
    </row>
    <row r="811" spans="1:3" x14ac:dyDescent="0.25">
      <c r="A811" s="1"/>
      <c r="B811" s="1"/>
      <c r="C811" s="1"/>
    </row>
    <row r="812" spans="1:3" x14ac:dyDescent="0.25">
      <c r="A812" s="1"/>
      <c r="B812" s="1"/>
      <c r="C812" s="1"/>
    </row>
    <row r="813" spans="1:3" x14ac:dyDescent="0.25">
      <c r="A813" s="1"/>
      <c r="B813" s="1"/>
      <c r="C813" s="1"/>
    </row>
    <row r="814" spans="1:3" x14ac:dyDescent="0.25">
      <c r="A814" s="1"/>
      <c r="B814" s="1"/>
      <c r="C814" s="1"/>
    </row>
    <row r="815" spans="1:3" x14ac:dyDescent="0.25">
      <c r="A815" s="1"/>
      <c r="B815" s="1"/>
      <c r="C815" s="1"/>
    </row>
    <row r="816" spans="1:3" x14ac:dyDescent="0.25">
      <c r="A816" s="1"/>
      <c r="B816" s="1"/>
      <c r="C816" s="1"/>
    </row>
    <row r="817" spans="1:3" x14ac:dyDescent="0.25">
      <c r="A817" s="1"/>
      <c r="B817" s="1"/>
      <c r="C817" s="1"/>
    </row>
    <row r="818" spans="1:3" x14ac:dyDescent="0.25">
      <c r="A818" s="1"/>
      <c r="B818" s="1"/>
      <c r="C818" s="1"/>
    </row>
    <row r="819" spans="1:3" x14ac:dyDescent="0.25">
      <c r="A819" s="1"/>
      <c r="B819" s="1"/>
      <c r="C819" s="1"/>
    </row>
    <row r="820" spans="1:3" x14ac:dyDescent="0.25">
      <c r="A820" s="1"/>
      <c r="B820" s="1"/>
      <c r="C820" s="1"/>
    </row>
    <row r="821" spans="1:3" x14ac:dyDescent="0.25">
      <c r="A821" s="1"/>
      <c r="B821" s="1"/>
      <c r="C821" s="1"/>
    </row>
    <row r="822" spans="1:3" x14ac:dyDescent="0.25">
      <c r="A822" s="1"/>
      <c r="B822" s="1"/>
      <c r="C822" s="1"/>
    </row>
    <row r="823" spans="1:3" x14ac:dyDescent="0.25">
      <c r="A823" s="1"/>
      <c r="B823" s="1"/>
      <c r="C823" s="1"/>
    </row>
    <row r="824" spans="1:3" x14ac:dyDescent="0.25">
      <c r="A824" s="1"/>
      <c r="B824" s="1"/>
      <c r="C824" s="1"/>
    </row>
    <row r="825" spans="1:3" x14ac:dyDescent="0.25">
      <c r="A825" s="1"/>
      <c r="B825" s="1"/>
      <c r="C825" s="1"/>
    </row>
    <row r="826" spans="1:3" x14ac:dyDescent="0.25">
      <c r="A826" s="1"/>
      <c r="B826" s="1"/>
      <c r="C826" s="1"/>
    </row>
    <row r="827" spans="1:3" x14ac:dyDescent="0.25">
      <c r="A827" s="1"/>
      <c r="B827" s="1"/>
      <c r="C827" s="1"/>
    </row>
    <row r="828" spans="1:3" x14ac:dyDescent="0.25">
      <c r="A828" s="1"/>
      <c r="B828" s="1"/>
      <c r="C828" s="1"/>
    </row>
    <row r="829" spans="1:3" x14ac:dyDescent="0.25">
      <c r="A829" s="1"/>
      <c r="B829" s="1"/>
      <c r="C829" s="1"/>
    </row>
    <row r="830" spans="1:3" x14ac:dyDescent="0.25">
      <c r="A830" s="1"/>
      <c r="B830" s="1"/>
      <c r="C830" s="1"/>
    </row>
    <row r="831" spans="1:3" x14ac:dyDescent="0.25">
      <c r="A831" s="1"/>
      <c r="B831" s="1"/>
      <c r="C831" s="1"/>
    </row>
    <row r="832" spans="1:3" x14ac:dyDescent="0.25">
      <c r="A832" s="1"/>
      <c r="B832" s="1"/>
      <c r="C832" s="1"/>
    </row>
    <row r="833" spans="1:3" x14ac:dyDescent="0.25">
      <c r="A833" s="1"/>
      <c r="B833" s="1"/>
      <c r="C833" s="1"/>
    </row>
    <row r="834" spans="1:3" x14ac:dyDescent="0.25">
      <c r="A834" s="1"/>
      <c r="B834" s="1"/>
      <c r="C834" s="1"/>
    </row>
    <row r="835" spans="1:3" x14ac:dyDescent="0.25">
      <c r="A835" s="1"/>
      <c r="B835" s="1"/>
      <c r="C835" s="1"/>
    </row>
    <row r="836" spans="1:3" x14ac:dyDescent="0.25">
      <c r="A836" s="1"/>
      <c r="B836" s="1"/>
      <c r="C836" s="1"/>
    </row>
    <row r="837" spans="1:3" x14ac:dyDescent="0.25">
      <c r="A837" s="1"/>
      <c r="B837" s="1"/>
      <c r="C837" s="1"/>
    </row>
    <row r="838" spans="1:3" x14ac:dyDescent="0.25">
      <c r="A838" s="1"/>
      <c r="B838" s="1"/>
      <c r="C838" s="1"/>
    </row>
    <row r="839" spans="1:3" x14ac:dyDescent="0.25">
      <c r="A839" s="1"/>
      <c r="B839" s="1"/>
      <c r="C839" s="1"/>
    </row>
    <row r="840" spans="1:3" x14ac:dyDescent="0.25">
      <c r="A840" s="1"/>
      <c r="B840" s="1"/>
      <c r="C840" s="1"/>
    </row>
    <row r="841" spans="1:3" x14ac:dyDescent="0.25">
      <c r="A841" s="1"/>
      <c r="B841" s="1"/>
      <c r="C841" s="1"/>
    </row>
    <row r="842" spans="1:3" x14ac:dyDescent="0.25">
      <c r="A842" s="1"/>
      <c r="B842" s="1"/>
      <c r="C842" s="1"/>
    </row>
    <row r="843" spans="1:3" x14ac:dyDescent="0.25">
      <c r="A843" s="1"/>
      <c r="B843" s="1"/>
      <c r="C843" s="1"/>
    </row>
    <row r="844" spans="1:3" x14ac:dyDescent="0.25">
      <c r="A844" s="1"/>
      <c r="B844" s="1"/>
      <c r="C844" s="1"/>
    </row>
    <row r="845" spans="1:3" x14ac:dyDescent="0.25">
      <c r="A845" s="1"/>
      <c r="B845" s="1"/>
      <c r="C845" s="1"/>
    </row>
    <row r="846" spans="1:3" x14ac:dyDescent="0.25">
      <c r="A846" s="1"/>
      <c r="B846" s="1"/>
      <c r="C846" s="1"/>
    </row>
    <row r="847" spans="1:3" x14ac:dyDescent="0.25">
      <c r="A847" s="1"/>
      <c r="B847" s="1"/>
      <c r="C847" s="1"/>
    </row>
    <row r="848" spans="1:3" x14ac:dyDescent="0.25">
      <c r="A848" s="1"/>
      <c r="B848" s="1"/>
      <c r="C848" s="1"/>
    </row>
    <row r="849" spans="1:3" x14ac:dyDescent="0.25">
      <c r="A849" s="1"/>
      <c r="B849" s="1"/>
      <c r="C849" s="1"/>
    </row>
    <row r="850" spans="1:3" x14ac:dyDescent="0.25">
      <c r="A850" s="1"/>
      <c r="B850" s="1"/>
      <c r="C850" s="1"/>
    </row>
    <row r="851" spans="1:3" x14ac:dyDescent="0.25">
      <c r="A851" s="1"/>
      <c r="B851" s="1"/>
      <c r="C851" s="1"/>
    </row>
    <row r="852" spans="1:3" x14ac:dyDescent="0.25">
      <c r="A852" s="1"/>
      <c r="B852" s="1"/>
      <c r="C852" s="1"/>
    </row>
    <row r="853" spans="1:3" x14ac:dyDescent="0.25">
      <c r="A853" s="1"/>
      <c r="B853" s="1"/>
      <c r="C853" s="1"/>
    </row>
    <row r="854" spans="1:3" x14ac:dyDescent="0.25">
      <c r="A854" s="1"/>
      <c r="B854" s="1"/>
      <c r="C854" s="1"/>
    </row>
    <row r="855" spans="1:3" x14ac:dyDescent="0.25">
      <c r="A855" s="1"/>
      <c r="B855" s="1"/>
      <c r="C855" s="1"/>
    </row>
    <row r="856" spans="1:3" x14ac:dyDescent="0.25">
      <c r="A856" s="1"/>
      <c r="B856" s="1"/>
      <c r="C856" s="1"/>
    </row>
    <row r="857" spans="1:3" x14ac:dyDescent="0.25">
      <c r="A857" s="1"/>
      <c r="B857" s="1"/>
      <c r="C857" s="1"/>
    </row>
    <row r="858" spans="1:3" x14ac:dyDescent="0.25">
      <c r="A858" s="1"/>
      <c r="B858" s="1"/>
      <c r="C858" s="1"/>
    </row>
    <row r="859" spans="1:3" x14ac:dyDescent="0.25">
      <c r="A859" s="1"/>
      <c r="B859" s="1"/>
      <c r="C859" s="1"/>
    </row>
    <row r="860" spans="1:3" x14ac:dyDescent="0.25">
      <c r="A860" s="1"/>
      <c r="B860" s="1"/>
      <c r="C860" s="1"/>
    </row>
    <row r="861" spans="1:3" x14ac:dyDescent="0.25">
      <c r="A861" s="1"/>
      <c r="B861" s="1"/>
      <c r="C861" s="1"/>
    </row>
    <row r="862" spans="1:3" x14ac:dyDescent="0.25">
      <c r="A862" s="1"/>
      <c r="B862" s="1"/>
      <c r="C862" s="1"/>
    </row>
    <row r="863" spans="1:3" x14ac:dyDescent="0.25">
      <c r="A863" s="1"/>
      <c r="B863" s="1"/>
      <c r="C863" s="1"/>
    </row>
    <row r="864" spans="1:3" x14ac:dyDescent="0.25">
      <c r="A864" s="1"/>
      <c r="B864" s="1"/>
      <c r="C864" s="1"/>
    </row>
    <row r="865" spans="1:3" x14ac:dyDescent="0.25">
      <c r="A865" s="1"/>
      <c r="B865" s="1"/>
      <c r="C865" s="1"/>
    </row>
    <row r="866" spans="1:3" x14ac:dyDescent="0.25">
      <c r="A866" s="1"/>
      <c r="B866" s="1"/>
      <c r="C866" s="1"/>
    </row>
    <row r="867" spans="1:3" x14ac:dyDescent="0.25">
      <c r="A867" s="1"/>
      <c r="B867" s="1"/>
      <c r="C867" s="1"/>
    </row>
    <row r="868" spans="1:3" x14ac:dyDescent="0.25">
      <c r="A868" s="1"/>
      <c r="B868" s="1"/>
      <c r="C868" s="1"/>
    </row>
    <row r="869" spans="1:3" x14ac:dyDescent="0.25">
      <c r="A869" s="1"/>
      <c r="B869" s="1"/>
      <c r="C869" s="1"/>
    </row>
    <row r="870" spans="1:3" x14ac:dyDescent="0.25">
      <c r="A870" s="1"/>
      <c r="B870" s="1"/>
      <c r="C870" s="1"/>
    </row>
    <row r="871" spans="1:3" x14ac:dyDescent="0.25">
      <c r="A871" s="1"/>
      <c r="B871" s="1"/>
      <c r="C871" s="1"/>
    </row>
    <row r="872" spans="1:3" x14ac:dyDescent="0.25">
      <c r="A872" s="1"/>
      <c r="B872" s="1"/>
      <c r="C872" s="1"/>
    </row>
    <row r="873" spans="1:3" x14ac:dyDescent="0.25">
      <c r="A873" s="1"/>
      <c r="B873" s="1"/>
      <c r="C873" s="1"/>
    </row>
    <row r="874" spans="1:3" x14ac:dyDescent="0.25">
      <c r="A874" s="1"/>
      <c r="B874" s="1"/>
      <c r="C874" s="1"/>
    </row>
    <row r="875" spans="1:3" x14ac:dyDescent="0.25">
      <c r="A875" s="1"/>
      <c r="B875" s="1"/>
      <c r="C875" s="1"/>
    </row>
    <row r="876" spans="1:3" x14ac:dyDescent="0.25">
      <c r="A876" s="1"/>
      <c r="B876" s="1"/>
      <c r="C876" s="1"/>
    </row>
    <row r="877" spans="1:3" x14ac:dyDescent="0.25">
      <c r="A877" s="1"/>
      <c r="B877" s="1"/>
      <c r="C877" s="1"/>
    </row>
    <row r="878" spans="1:3" x14ac:dyDescent="0.25">
      <c r="A878" s="1"/>
      <c r="B878" s="1"/>
      <c r="C878" s="1"/>
    </row>
    <row r="879" spans="1:3" x14ac:dyDescent="0.25">
      <c r="A879" s="1"/>
      <c r="B879" s="1"/>
      <c r="C879" s="1"/>
    </row>
    <row r="880" spans="1:3" x14ac:dyDescent="0.25">
      <c r="A880" s="1"/>
      <c r="B880" s="1"/>
      <c r="C880" s="1"/>
    </row>
    <row r="881" spans="1:3" x14ac:dyDescent="0.25">
      <c r="A881" s="1"/>
      <c r="B881" s="1"/>
      <c r="C881" s="1"/>
    </row>
    <row r="882" spans="1:3" x14ac:dyDescent="0.25">
      <c r="A882" s="1"/>
      <c r="B882" s="1"/>
      <c r="C882" s="1"/>
    </row>
    <row r="883" spans="1:3" x14ac:dyDescent="0.25">
      <c r="A883" s="1"/>
      <c r="B883" s="1"/>
      <c r="C883" s="1"/>
    </row>
    <row r="884" spans="1:3" x14ac:dyDescent="0.25">
      <c r="A884" s="1"/>
      <c r="B884" s="1"/>
      <c r="C884" s="1"/>
    </row>
    <row r="885" spans="1:3" x14ac:dyDescent="0.25">
      <c r="A885" s="1"/>
      <c r="B885" s="1"/>
      <c r="C885" s="1"/>
    </row>
    <row r="886" spans="1:3" x14ac:dyDescent="0.25">
      <c r="A886" s="1"/>
      <c r="B886" s="1"/>
      <c r="C886" s="1"/>
    </row>
    <row r="887" spans="1:3" x14ac:dyDescent="0.25">
      <c r="A887" s="1"/>
      <c r="B887" s="1"/>
      <c r="C887" s="1"/>
    </row>
    <row r="888" spans="1:3" x14ac:dyDescent="0.25">
      <c r="A888" s="1"/>
      <c r="B888" s="1"/>
      <c r="C888" s="1"/>
    </row>
    <row r="889" spans="1:3" x14ac:dyDescent="0.25">
      <c r="A889" s="1"/>
      <c r="B889" s="1"/>
      <c r="C889" s="1"/>
    </row>
    <row r="890" spans="1:3" x14ac:dyDescent="0.25">
      <c r="A890" s="1"/>
      <c r="B890" s="1"/>
      <c r="C890" s="1"/>
    </row>
    <row r="891" spans="1:3" x14ac:dyDescent="0.25">
      <c r="A891" s="1"/>
      <c r="B891" s="1"/>
      <c r="C891" s="1"/>
    </row>
    <row r="892" spans="1:3" x14ac:dyDescent="0.25">
      <c r="A892" s="1"/>
      <c r="B892" s="1"/>
      <c r="C892" s="1"/>
    </row>
    <row r="893" spans="1:3" x14ac:dyDescent="0.25">
      <c r="A893" s="1"/>
      <c r="B893" s="1"/>
      <c r="C893" s="1"/>
    </row>
    <row r="894" spans="1:3" x14ac:dyDescent="0.25">
      <c r="A894" s="1"/>
      <c r="B894" s="1"/>
      <c r="C894" s="1"/>
    </row>
    <row r="895" spans="1:3" x14ac:dyDescent="0.25">
      <c r="A895" s="1"/>
      <c r="B895" s="1"/>
      <c r="C895" s="1"/>
    </row>
    <row r="896" spans="1:3" x14ac:dyDescent="0.25">
      <c r="A896" s="1"/>
      <c r="B896" s="1"/>
      <c r="C896" s="1"/>
    </row>
    <row r="897" spans="1:3" x14ac:dyDescent="0.25">
      <c r="A897" s="1"/>
      <c r="B897" s="1"/>
      <c r="C897" s="1"/>
    </row>
    <row r="898" spans="1:3" x14ac:dyDescent="0.25">
      <c r="A898" s="1"/>
      <c r="B898" s="1"/>
      <c r="C898" s="1"/>
    </row>
    <row r="899" spans="1:3" x14ac:dyDescent="0.25">
      <c r="A899" s="1"/>
      <c r="B899" s="1"/>
      <c r="C899" s="1"/>
    </row>
    <row r="900" spans="1:3" x14ac:dyDescent="0.25">
      <c r="A900" s="1"/>
      <c r="B900" s="1"/>
      <c r="C900" s="1"/>
    </row>
    <row r="901" spans="1:3" x14ac:dyDescent="0.25">
      <c r="A901" s="1"/>
      <c r="B901" s="1"/>
      <c r="C901" s="1"/>
    </row>
    <row r="902" spans="1:3" x14ac:dyDescent="0.25">
      <c r="A902" s="1"/>
      <c r="B902" s="1"/>
      <c r="C902" s="1"/>
    </row>
    <row r="903" spans="1:3" x14ac:dyDescent="0.25">
      <c r="A903" s="1"/>
      <c r="B903" s="1"/>
      <c r="C903" s="1"/>
    </row>
    <row r="904" spans="1:3" x14ac:dyDescent="0.25">
      <c r="A904" s="1"/>
      <c r="B904" s="1"/>
      <c r="C904" s="1"/>
    </row>
    <row r="905" spans="1:3" x14ac:dyDescent="0.25">
      <c r="A905" s="1"/>
      <c r="B905" s="1"/>
      <c r="C905" s="1"/>
    </row>
    <row r="906" spans="1:3" x14ac:dyDescent="0.25">
      <c r="A906" s="1"/>
      <c r="B906" s="1"/>
      <c r="C906" s="1"/>
    </row>
    <row r="907" spans="1:3" x14ac:dyDescent="0.25">
      <c r="A907" s="1"/>
      <c r="B907" s="1"/>
      <c r="C907" s="1"/>
    </row>
    <row r="908" spans="1:3" x14ac:dyDescent="0.25">
      <c r="A908" s="1"/>
      <c r="B908" s="1"/>
      <c r="C908" s="1"/>
    </row>
    <row r="909" spans="1:3" x14ac:dyDescent="0.25">
      <c r="A909" s="1"/>
      <c r="B909" s="1"/>
      <c r="C909" s="1"/>
    </row>
    <row r="910" spans="1:3" x14ac:dyDescent="0.25">
      <c r="A910" s="1"/>
      <c r="B910" s="1"/>
      <c r="C910" s="1"/>
    </row>
    <row r="911" spans="1:3" x14ac:dyDescent="0.25">
      <c r="A911" s="1"/>
      <c r="B911" s="1"/>
      <c r="C911" s="1"/>
    </row>
    <row r="912" spans="1:3" x14ac:dyDescent="0.25">
      <c r="A912" s="1"/>
      <c r="B912" s="1"/>
      <c r="C912" s="1"/>
    </row>
    <row r="913" spans="1:3" x14ac:dyDescent="0.25">
      <c r="A913" s="1"/>
      <c r="B913" s="1"/>
      <c r="C913" s="1"/>
    </row>
    <row r="914" spans="1:3" x14ac:dyDescent="0.25">
      <c r="A914" s="1"/>
      <c r="B914" s="1"/>
      <c r="C914" s="1"/>
    </row>
    <row r="915" spans="1:3" x14ac:dyDescent="0.25">
      <c r="A915" s="1"/>
      <c r="B915" s="1"/>
      <c r="C915" s="1"/>
    </row>
    <row r="916" spans="1:3" x14ac:dyDescent="0.25">
      <c r="A916" s="1"/>
      <c r="B916" s="1"/>
      <c r="C916" s="1"/>
    </row>
    <row r="917" spans="1:3" x14ac:dyDescent="0.25">
      <c r="A917" s="1"/>
      <c r="B917" s="1"/>
      <c r="C917" s="1"/>
    </row>
    <row r="918" spans="1:3" x14ac:dyDescent="0.25">
      <c r="A918" s="1"/>
      <c r="B918" s="1"/>
      <c r="C918" s="1"/>
    </row>
    <row r="919" spans="1:3" x14ac:dyDescent="0.25">
      <c r="A919" s="1"/>
      <c r="B919" s="1"/>
      <c r="C919" s="1"/>
    </row>
    <row r="920" spans="1:3" x14ac:dyDescent="0.25">
      <c r="A920" s="1"/>
      <c r="B920" s="1"/>
      <c r="C920" s="1"/>
    </row>
    <row r="921" spans="1:3" x14ac:dyDescent="0.25">
      <c r="A921" s="1"/>
      <c r="B921" s="1"/>
      <c r="C921" s="1"/>
    </row>
    <row r="922" spans="1:3" x14ac:dyDescent="0.25">
      <c r="A922" s="1"/>
      <c r="B922" s="1"/>
      <c r="C922" s="1"/>
    </row>
    <row r="923" spans="1:3" x14ac:dyDescent="0.25">
      <c r="A923" s="1"/>
      <c r="B923" s="1"/>
      <c r="C923" s="1"/>
    </row>
    <row r="924" spans="1:3" x14ac:dyDescent="0.25">
      <c r="A924" s="1"/>
      <c r="B924" s="1"/>
      <c r="C924" s="1"/>
    </row>
    <row r="925" spans="1:3" x14ac:dyDescent="0.25">
      <c r="A925" s="1"/>
      <c r="B925" s="1"/>
      <c r="C925" s="1"/>
    </row>
    <row r="926" spans="1:3" x14ac:dyDescent="0.25">
      <c r="A926" s="1"/>
      <c r="B926" s="1"/>
      <c r="C926" s="1"/>
    </row>
    <row r="927" spans="1:3" x14ac:dyDescent="0.25">
      <c r="A927" s="1"/>
      <c r="B927" s="1"/>
      <c r="C927" s="1"/>
    </row>
    <row r="928" spans="1:3" x14ac:dyDescent="0.25">
      <c r="A928" s="1"/>
      <c r="B928" s="1"/>
      <c r="C928" s="1"/>
    </row>
    <row r="929" spans="1:3" x14ac:dyDescent="0.25">
      <c r="A929" s="1"/>
      <c r="B929" s="1"/>
      <c r="C929" s="1"/>
    </row>
    <row r="930" spans="1:3" x14ac:dyDescent="0.25">
      <c r="A930" s="1"/>
      <c r="B930" s="1"/>
      <c r="C930" s="1"/>
    </row>
    <row r="931" spans="1:3" x14ac:dyDescent="0.25">
      <c r="A931" s="1"/>
      <c r="B931" s="1"/>
      <c r="C931" s="1"/>
    </row>
    <row r="932" spans="1:3" x14ac:dyDescent="0.25">
      <c r="A932" s="1"/>
      <c r="B932" s="1"/>
      <c r="C932" s="1"/>
    </row>
    <row r="933" spans="1:3" x14ac:dyDescent="0.25">
      <c r="A933" s="1"/>
      <c r="B933" s="1"/>
      <c r="C933" s="1"/>
    </row>
    <row r="934" spans="1:3" x14ac:dyDescent="0.25">
      <c r="A934" s="1"/>
      <c r="B934" s="1"/>
      <c r="C934" s="1"/>
    </row>
    <row r="935" spans="1:3" x14ac:dyDescent="0.25">
      <c r="A935" s="1"/>
      <c r="B935" s="1"/>
      <c r="C935" s="1"/>
    </row>
    <row r="936" spans="1:3" x14ac:dyDescent="0.25">
      <c r="A936" s="1"/>
      <c r="B936" s="1"/>
      <c r="C936" s="1"/>
    </row>
    <row r="937" spans="1:3" x14ac:dyDescent="0.25">
      <c r="A937" s="1"/>
      <c r="B937" s="1"/>
      <c r="C937" s="1"/>
    </row>
    <row r="938" spans="1:3" x14ac:dyDescent="0.25">
      <c r="A938" s="1"/>
      <c r="B938" s="1"/>
      <c r="C938" s="1"/>
    </row>
    <row r="939" spans="1:3" x14ac:dyDescent="0.25">
      <c r="A939" s="1"/>
      <c r="B939" s="1"/>
      <c r="C939" s="1"/>
    </row>
    <row r="940" spans="1:3" x14ac:dyDescent="0.25">
      <c r="A940" s="1"/>
      <c r="B940" s="1"/>
      <c r="C940" s="1"/>
    </row>
    <row r="941" spans="1:3" x14ac:dyDescent="0.25">
      <c r="A941" s="1"/>
      <c r="B941" s="1"/>
      <c r="C941" s="1"/>
    </row>
    <row r="942" spans="1:3" x14ac:dyDescent="0.25">
      <c r="A942" s="1"/>
      <c r="B942" s="1"/>
      <c r="C942" s="1"/>
    </row>
    <row r="943" spans="1:3" x14ac:dyDescent="0.25">
      <c r="A943" s="1"/>
      <c r="B943" s="1"/>
      <c r="C943" s="1"/>
    </row>
    <row r="944" spans="1:3" x14ac:dyDescent="0.25">
      <c r="A944" s="1"/>
      <c r="B944" s="1"/>
      <c r="C944" s="1"/>
    </row>
    <row r="945" spans="1:3" x14ac:dyDescent="0.25">
      <c r="A945" s="1"/>
      <c r="B945" s="1"/>
      <c r="C945" s="1"/>
    </row>
    <row r="946" spans="1:3" x14ac:dyDescent="0.25">
      <c r="A946" s="1"/>
      <c r="B946" s="1"/>
      <c r="C946" s="1"/>
    </row>
    <row r="947" spans="1:3" x14ac:dyDescent="0.25">
      <c r="A947" s="1"/>
      <c r="B947" s="1"/>
      <c r="C947" s="1"/>
    </row>
    <row r="948" spans="1:3" x14ac:dyDescent="0.25">
      <c r="A948" s="1"/>
      <c r="B948" s="1"/>
      <c r="C948" s="1"/>
    </row>
    <row r="949" spans="1:3" x14ac:dyDescent="0.25">
      <c r="A949" s="1"/>
      <c r="B949" s="1"/>
      <c r="C949" s="1"/>
    </row>
    <row r="950" spans="1:3" x14ac:dyDescent="0.25">
      <c r="A950" s="1"/>
      <c r="B950" s="1"/>
      <c r="C950" s="1"/>
    </row>
    <row r="951" spans="1:3" x14ac:dyDescent="0.25">
      <c r="A951" s="1"/>
      <c r="B951" s="1"/>
      <c r="C951" s="1"/>
    </row>
    <row r="952" spans="1:3" x14ac:dyDescent="0.25">
      <c r="A952" s="1"/>
      <c r="B952" s="1"/>
      <c r="C952" s="1"/>
    </row>
    <row r="953" spans="1:3" x14ac:dyDescent="0.25">
      <c r="A953" s="1"/>
      <c r="B953" s="1"/>
      <c r="C953" s="1"/>
    </row>
    <row r="954" spans="1:3" x14ac:dyDescent="0.25">
      <c r="A954" s="1"/>
      <c r="B954" s="1"/>
      <c r="C954" s="1"/>
    </row>
    <row r="955" spans="1:3" x14ac:dyDescent="0.25">
      <c r="A955" s="1"/>
      <c r="B955" s="1"/>
      <c r="C955" s="1"/>
    </row>
    <row r="956" spans="1:3" x14ac:dyDescent="0.25">
      <c r="A956" s="1"/>
      <c r="B956" s="1"/>
      <c r="C956" s="1"/>
    </row>
    <row r="957" spans="1:3" x14ac:dyDescent="0.25">
      <c r="A957" s="1"/>
      <c r="B957" s="1"/>
      <c r="C957" s="1"/>
    </row>
    <row r="958" spans="1:3" x14ac:dyDescent="0.25">
      <c r="A958" s="1"/>
      <c r="B958" s="1"/>
      <c r="C958" s="1"/>
    </row>
    <row r="959" spans="1:3" x14ac:dyDescent="0.25">
      <c r="A959" s="1"/>
      <c r="B959" s="1"/>
      <c r="C959" s="1"/>
    </row>
    <row r="960" spans="1:3" x14ac:dyDescent="0.25">
      <c r="A960" s="1"/>
      <c r="B960" s="1"/>
      <c r="C960" s="1"/>
    </row>
    <row r="961" spans="1:3" x14ac:dyDescent="0.25">
      <c r="A961" s="1"/>
      <c r="B961" s="1"/>
      <c r="C961" s="1"/>
    </row>
    <row r="962" spans="1:3" x14ac:dyDescent="0.25">
      <c r="A962" s="1"/>
      <c r="B962" s="1"/>
      <c r="C962" s="1"/>
    </row>
    <row r="963" spans="1:3" x14ac:dyDescent="0.25">
      <c r="A963" s="1"/>
      <c r="B963" s="1"/>
      <c r="C963" s="1"/>
    </row>
    <row r="964" spans="1:3" x14ac:dyDescent="0.25">
      <c r="A964" s="1"/>
      <c r="B964" s="1"/>
      <c r="C964" s="1"/>
    </row>
    <row r="965" spans="1:3" x14ac:dyDescent="0.25">
      <c r="A965" s="1"/>
      <c r="B965" s="1"/>
      <c r="C965" s="1"/>
    </row>
    <row r="966" spans="1:3" x14ac:dyDescent="0.25">
      <c r="A966" s="1"/>
      <c r="B966" s="1"/>
      <c r="C966" s="1"/>
    </row>
    <row r="967" spans="1:3" x14ac:dyDescent="0.25">
      <c r="A967" s="1"/>
      <c r="B967" s="1"/>
      <c r="C967" s="1"/>
    </row>
    <row r="968" spans="1:3" x14ac:dyDescent="0.25">
      <c r="A968" s="1"/>
      <c r="B968" s="1"/>
      <c r="C968" s="1"/>
    </row>
    <row r="969" spans="1:3" x14ac:dyDescent="0.25">
      <c r="A969" s="1"/>
      <c r="B969" s="1"/>
      <c r="C969" s="1"/>
    </row>
    <row r="970" spans="1:3" x14ac:dyDescent="0.25">
      <c r="A970" s="1"/>
      <c r="B970" s="1"/>
      <c r="C970" s="1"/>
    </row>
    <row r="971" spans="1:3" x14ac:dyDescent="0.25">
      <c r="A971" s="1"/>
      <c r="B971" s="1"/>
      <c r="C971" s="1"/>
    </row>
    <row r="972" spans="1:3" x14ac:dyDescent="0.25">
      <c r="A972" s="1"/>
      <c r="B972" s="1"/>
      <c r="C972" s="1"/>
    </row>
    <row r="973" spans="1:3" x14ac:dyDescent="0.25">
      <c r="A973" s="1"/>
      <c r="B973" s="1"/>
      <c r="C973" s="1"/>
    </row>
    <row r="974" spans="1:3" x14ac:dyDescent="0.25">
      <c r="A974" s="1"/>
      <c r="B974" s="1"/>
      <c r="C974" s="1"/>
    </row>
    <row r="975" spans="1:3" x14ac:dyDescent="0.25">
      <c r="A975" s="1"/>
      <c r="B975" s="1"/>
      <c r="C975" s="1"/>
    </row>
    <row r="976" spans="1:3" x14ac:dyDescent="0.25">
      <c r="A976" s="1"/>
      <c r="B976" s="1"/>
      <c r="C976" s="1"/>
    </row>
    <row r="977" spans="1:3" x14ac:dyDescent="0.25">
      <c r="A977" s="1"/>
      <c r="B977" s="1"/>
      <c r="C977" s="1"/>
    </row>
    <row r="978" spans="1:3" x14ac:dyDescent="0.25">
      <c r="A978" s="1"/>
      <c r="B978" s="1"/>
      <c r="C978" s="1"/>
    </row>
    <row r="979" spans="1:3" x14ac:dyDescent="0.25">
      <c r="A979" s="1"/>
      <c r="B979" s="1"/>
      <c r="C979" s="1"/>
    </row>
    <row r="980" spans="1:3" x14ac:dyDescent="0.25">
      <c r="A980" s="1"/>
      <c r="B980" s="1"/>
      <c r="C980" s="1"/>
    </row>
    <row r="981" spans="1:3" x14ac:dyDescent="0.25">
      <c r="A981" s="1"/>
      <c r="B981" s="1"/>
      <c r="C981" s="1"/>
    </row>
    <row r="982" spans="1:3" x14ac:dyDescent="0.25">
      <c r="A982" s="1"/>
      <c r="B982" s="1"/>
      <c r="C982" s="1"/>
    </row>
    <row r="983" spans="1:3" x14ac:dyDescent="0.25">
      <c r="A983" s="1"/>
      <c r="B983" s="1"/>
      <c r="C983" s="1"/>
    </row>
    <row r="984" spans="1:3" x14ac:dyDescent="0.25">
      <c r="A984" s="1"/>
      <c r="B984" s="1"/>
      <c r="C984" s="1"/>
    </row>
    <row r="985" spans="1:3" x14ac:dyDescent="0.25">
      <c r="A985" s="1"/>
      <c r="B985" s="1"/>
      <c r="C985" s="1"/>
    </row>
    <row r="986" spans="1:3" x14ac:dyDescent="0.25">
      <c r="A986" s="1"/>
      <c r="B986" s="1"/>
      <c r="C986" s="1"/>
    </row>
    <row r="987" spans="1:3" x14ac:dyDescent="0.25">
      <c r="A987" s="1"/>
      <c r="B987" s="1"/>
      <c r="C987" s="1"/>
    </row>
    <row r="988" spans="1:3" x14ac:dyDescent="0.25">
      <c r="A988" s="1"/>
      <c r="B988" s="1"/>
      <c r="C988" s="1"/>
    </row>
    <row r="989" spans="1:3" x14ac:dyDescent="0.25">
      <c r="A989" s="1"/>
      <c r="B989" s="1"/>
      <c r="C989" s="1"/>
    </row>
  </sheetData>
  <mergeCells count="2">
    <mergeCell ref="A2:A3"/>
    <mergeCell ref="A14:A15"/>
  </mergeCells>
  <conditionalFormatting sqref="B10:B11">
    <cfRule type="expression" dxfId="15" priority="1">
      <formula>#REF!="Інші джерела"</formula>
    </cfRule>
  </conditionalFormatting>
  <dataValidations xWindow="775" yWindow="529" count="4">
    <dataValidation type="custom" allowBlank="1" showDropDown="1" showInputMessage="1" showErrorMessage="1" prompt="Увага! - Поле заповнюється лише у випадку фінансування проекту за БЮДЖЕТНІ КОШТИ, і повинно бути рівне 80% при фінансуванні з Інших джерел." sqref="B10">
      <formula1>EQ(B10,0.8)*EQ(#REF!,"Інші джерела")+EQ(#REF!,"Бюджетні кошти")*GT(B10,0)*LTE(B10,1)</formula1>
    </dataValidation>
    <dataValidation type="decimal" allowBlank="1" showInputMessage="1" showErrorMessage="1" prompt="Увага! - Термін дії договору не може перевищувати 15 років." sqref="B19">
      <formula1>0</formula1>
      <formula2>14</formula2>
    </dataValidation>
    <dataValidation type="decimal" allowBlank="1" showErrorMessage="1" sqref="B20">
      <formula1>0</formula1>
      <formula2>364</formula2>
    </dataValidation>
    <dataValidation type="decimal" allowBlank="1" showInputMessage="1" showErrorMessage="1" error="Фіксований відсоток платежів на користь учасника повинен знаходитися в діапазоні від 80% до 100%" sqref="B22">
      <formula1>0.8</formula1>
      <formula2>1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80"/>
  <sheetViews>
    <sheetView topLeftCell="A37" zoomScale="85" zoomScaleNormal="85" zoomScalePageLayoutView="85" workbookViewId="0">
      <selection activeCell="F65" sqref="F65"/>
    </sheetView>
  </sheetViews>
  <sheetFormatPr defaultColWidth="8.7109375" defaultRowHeight="15" x14ac:dyDescent="0.25"/>
  <cols>
    <col min="1" max="1" width="39.7109375" customWidth="1"/>
    <col min="2" max="13" width="11.7109375" customWidth="1"/>
    <col min="14" max="14" width="17.28515625" customWidth="1"/>
    <col min="15" max="15" width="28.7109375" customWidth="1"/>
    <col min="16" max="16" width="26.42578125" customWidth="1"/>
    <col min="17" max="17" width="59.42578125" customWidth="1"/>
    <col min="18" max="19" width="13.42578125" customWidth="1"/>
  </cols>
  <sheetData>
    <row r="1" spans="1:19" x14ac:dyDescent="0.25">
      <c r="A1" s="192" t="s">
        <v>17</v>
      </c>
      <c r="B1" s="44" t="s">
        <v>18</v>
      </c>
      <c r="C1" s="44" t="s">
        <v>19</v>
      </c>
      <c r="D1" s="44" t="s">
        <v>20</v>
      </c>
      <c r="E1" s="44" t="s">
        <v>21</v>
      </c>
      <c r="F1" s="44" t="s">
        <v>22</v>
      </c>
      <c r="G1" s="44" t="s">
        <v>23</v>
      </c>
      <c r="H1" s="44" t="s">
        <v>24</v>
      </c>
      <c r="I1" s="44" t="s">
        <v>25</v>
      </c>
      <c r="J1" s="44" t="s">
        <v>26</v>
      </c>
      <c r="K1" s="44" t="s">
        <v>27</v>
      </c>
      <c r="L1" s="44" t="s">
        <v>28</v>
      </c>
      <c r="M1" s="44" t="s">
        <v>29</v>
      </c>
      <c r="N1" s="44" t="s">
        <v>3</v>
      </c>
      <c r="Q1" t="s">
        <v>35</v>
      </c>
      <c r="R1" s="6">
        <f>'Оголошення закупівлі'!$B$23</f>
        <v>43174</v>
      </c>
      <c r="S1" s="6">
        <f>'Оголошення закупівлі'!$C$23</f>
        <v>45252</v>
      </c>
    </row>
    <row r="2" spans="1:19" x14ac:dyDescent="0.25">
      <c r="A2" s="192"/>
      <c r="B2" s="44">
        <f>'Оголошення закупівлі'!B15</f>
        <v>76.56</v>
      </c>
      <c r="C2" s="44">
        <f>'Оголошення закупівлі'!C15</f>
        <v>72.962999999999994</v>
      </c>
      <c r="D2" s="44">
        <f>'Оголошення закупівлі'!D15</f>
        <v>58.527000000000001</v>
      </c>
      <c r="E2" s="44">
        <f>'Оголошення закупівлі'!E15</f>
        <v>10.273</v>
      </c>
      <c r="F2" s="44">
        <f>'Оголошення закупівлі'!F15</f>
        <v>0</v>
      </c>
      <c r="G2" s="44">
        <f>'Оголошення закупівлі'!G15</f>
        <v>0</v>
      </c>
      <c r="H2" s="44">
        <f>'Оголошення закупівлі'!H15</f>
        <v>0</v>
      </c>
      <c r="I2" s="44">
        <f>'Оголошення закупівлі'!I15</f>
        <v>0</v>
      </c>
      <c r="J2" s="44">
        <f>'Оголошення закупівлі'!J15</f>
        <v>0</v>
      </c>
      <c r="K2" s="44">
        <f>'Оголошення закупівлі'!K15</f>
        <v>24.972999999999999</v>
      </c>
      <c r="L2" s="44">
        <f>'Оголошення закупівлі'!L15</f>
        <v>55.715000000000003</v>
      </c>
      <c r="M2" s="44">
        <f>'Оголошення закупівлі'!M15</f>
        <v>75.748999999999995</v>
      </c>
      <c r="N2" s="44">
        <f>'Оголошення закупівлі'!N15</f>
        <v>374.76100000000002</v>
      </c>
      <c r="Q2" t="s">
        <v>36</v>
      </c>
      <c r="R2" s="46">
        <f>'Оголошення закупівлі'!$B$25</f>
        <v>0.3</v>
      </c>
    </row>
    <row r="3" spans="1:19" x14ac:dyDescent="0.25">
      <c r="R3" s="47">
        <f>DAY(R1)-1</f>
        <v>14</v>
      </c>
      <c r="S3" s="47">
        <f>DAY(S1)</f>
        <v>22</v>
      </c>
    </row>
    <row r="4" spans="1:19" ht="30" customHeight="1" x14ac:dyDescent="0.25">
      <c r="A4" s="189" t="s">
        <v>48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R4">
        <f>DAY(EOMONTH(R1,0))</f>
        <v>31</v>
      </c>
      <c r="S4" s="32">
        <f t="shared" ref="S4" si="0">DAY(EOMONTH(S1,0))</f>
        <v>30</v>
      </c>
    </row>
    <row r="5" spans="1:19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R5" s="28">
        <f>1-R3/R4</f>
        <v>0.54838709677419351</v>
      </c>
      <c r="S5" s="28">
        <f>S3/S4</f>
        <v>0.73333333333333328</v>
      </c>
    </row>
    <row r="6" spans="1:19" x14ac:dyDescent="0.25"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Q6" s="199" t="s">
        <v>60</v>
      </c>
      <c r="R6" s="199"/>
      <c r="S6" s="83">
        <f>DATE(YEAR($S$1),12,31)-$S$1</f>
        <v>39</v>
      </c>
    </row>
    <row r="7" spans="1:19" ht="43.5" customHeight="1" x14ac:dyDescent="0.25">
      <c r="A7" s="48" t="s">
        <v>38</v>
      </c>
      <c r="B7" s="76" t="s">
        <v>18</v>
      </c>
      <c r="C7" s="76" t="s">
        <v>19</v>
      </c>
      <c r="D7" s="76" t="s">
        <v>20</v>
      </c>
      <c r="E7" s="76" t="s">
        <v>21</v>
      </c>
      <c r="F7" s="76" t="s">
        <v>22</v>
      </c>
      <c r="G7" s="76" t="s">
        <v>23</v>
      </c>
      <c r="H7" s="76" t="s">
        <v>24</v>
      </c>
      <c r="I7" s="76" t="s">
        <v>25</v>
      </c>
      <c r="J7" s="76" t="s">
        <v>26</v>
      </c>
      <c r="K7" s="76" t="s">
        <v>27</v>
      </c>
      <c r="L7" s="76" t="s">
        <v>28</v>
      </c>
      <c r="M7" s="76" t="s">
        <v>29</v>
      </c>
      <c r="N7" s="76" t="s">
        <v>3</v>
      </c>
      <c r="O7" s="82" t="s">
        <v>50</v>
      </c>
      <c r="Q7" t="s">
        <v>30</v>
      </c>
      <c r="R7">
        <f>'Оголошення закупівлі'!$B$12</f>
        <v>1320.05</v>
      </c>
    </row>
    <row r="8" spans="1:19" x14ac:dyDescent="0.25">
      <c r="A8" s="48">
        <v>2017</v>
      </c>
      <c r="B8" s="80">
        <f t="shared" ref="B8:M19" si="1">IF(AND(MONTH($R$1)=B$6,YEAR($R$1)=$A8),B$2*$R$2*$R$5,IF(AND(MONTH($S$1)=B$6,YEAR($S$1)=$A8),B$2*$R$2*$S$5,IF(AND(MONTH($R$1)&gt;B$6,YEAR($R$1)=$A8),0,IF(AND(MONTH($S$1)&lt;B$6,YEAR($S$1)=$A8),0,IF(OR(YEAR($S$1)&lt;$A8,YEAR($R$1)&gt;$A8),0,B$2*$R$2)))))</f>
        <v>0</v>
      </c>
      <c r="C8" s="80">
        <f t="shared" si="1"/>
        <v>0</v>
      </c>
      <c r="D8" s="80">
        <f t="shared" si="1"/>
        <v>0</v>
      </c>
      <c r="E8" s="80">
        <f t="shared" si="1"/>
        <v>0</v>
      </c>
      <c r="F8" s="80">
        <f t="shared" si="1"/>
        <v>0</v>
      </c>
      <c r="G8" s="80">
        <f t="shared" si="1"/>
        <v>0</v>
      </c>
      <c r="H8" s="80">
        <f t="shared" si="1"/>
        <v>0</v>
      </c>
      <c r="I8" s="80">
        <f t="shared" si="1"/>
        <v>0</v>
      </c>
      <c r="J8" s="80">
        <f t="shared" si="1"/>
        <v>0</v>
      </c>
      <c r="K8" s="80">
        <f t="shared" si="1"/>
        <v>0</v>
      </c>
      <c r="L8" s="80">
        <f t="shared" si="1"/>
        <v>0</v>
      </c>
      <c r="M8" s="80">
        <f t="shared" si="1"/>
        <v>0</v>
      </c>
      <c r="N8" s="81">
        <f>SUM(B8:M8)</f>
        <v>0</v>
      </c>
      <c r="O8" s="70">
        <f t="shared" ref="O8:O28" si="2">N8/$N$2</f>
        <v>0</v>
      </c>
      <c r="Q8" s="191" t="s">
        <v>34</v>
      </c>
    </row>
    <row r="9" spans="1:19" x14ac:dyDescent="0.25">
      <c r="A9" s="48">
        <v>2018</v>
      </c>
      <c r="B9" s="80">
        <f t="shared" si="1"/>
        <v>0</v>
      </c>
      <c r="C9" s="80">
        <f t="shared" si="1"/>
        <v>0</v>
      </c>
      <c r="D9" s="80">
        <f t="shared" si="1"/>
        <v>9.6286354838709673</v>
      </c>
      <c r="E9" s="80">
        <f t="shared" si="1"/>
        <v>3.0818999999999996</v>
      </c>
      <c r="F9" s="80">
        <f t="shared" si="1"/>
        <v>0</v>
      </c>
      <c r="G9" s="80">
        <f t="shared" si="1"/>
        <v>0</v>
      </c>
      <c r="H9" s="80">
        <f t="shared" si="1"/>
        <v>0</v>
      </c>
      <c r="I9" s="80">
        <f t="shared" si="1"/>
        <v>0</v>
      </c>
      <c r="J9" s="80">
        <f t="shared" si="1"/>
        <v>0</v>
      </c>
      <c r="K9" s="80">
        <f t="shared" si="1"/>
        <v>7.4918999999999993</v>
      </c>
      <c r="L9" s="80">
        <f t="shared" si="1"/>
        <v>16.714500000000001</v>
      </c>
      <c r="M9" s="80">
        <f t="shared" si="1"/>
        <v>22.724699999999999</v>
      </c>
      <c r="N9" s="184">
        <f t="shared" ref="N9:N25" si="3">SUM(B9:M9)</f>
        <v>59.641635483870964</v>
      </c>
      <c r="O9" s="185">
        <f t="shared" si="2"/>
        <v>0.15914579020728134</v>
      </c>
      <c r="P9" s="186"/>
      <c r="Q9" s="191"/>
      <c r="R9" s="46">
        <f>yearlyPaymentsPercentage</f>
        <v>0.91</v>
      </c>
    </row>
    <row r="10" spans="1:19" x14ac:dyDescent="0.25">
      <c r="A10" s="48">
        <v>2019</v>
      </c>
      <c r="B10" s="80">
        <f t="shared" si="1"/>
        <v>22.968</v>
      </c>
      <c r="C10" s="80">
        <f t="shared" si="1"/>
        <v>21.888899999999996</v>
      </c>
      <c r="D10" s="80">
        <f t="shared" si="1"/>
        <v>17.5581</v>
      </c>
      <c r="E10" s="80">
        <f t="shared" si="1"/>
        <v>3.0818999999999996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  <c r="J10" s="80">
        <f t="shared" si="1"/>
        <v>0</v>
      </c>
      <c r="K10" s="80">
        <f t="shared" si="1"/>
        <v>7.4918999999999993</v>
      </c>
      <c r="L10" s="80">
        <f t="shared" si="1"/>
        <v>16.714500000000001</v>
      </c>
      <c r="M10" s="80">
        <f t="shared" si="1"/>
        <v>22.724699999999999</v>
      </c>
      <c r="N10" s="184">
        <f t="shared" si="3"/>
        <v>112.428</v>
      </c>
      <c r="O10" s="185">
        <f t="shared" si="2"/>
        <v>0.29999919948980813</v>
      </c>
      <c r="P10" s="186"/>
    </row>
    <row r="11" spans="1:19" x14ac:dyDescent="0.25">
      <c r="A11" s="48">
        <v>2020</v>
      </c>
      <c r="B11" s="80">
        <f t="shared" si="1"/>
        <v>22.968</v>
      </c>
      <c r="C11" s="80">
        <f t="shared" si="1"/>
        <v>21.888899999999996</v>
      </c>
      <c r="D11" s="80">
        <f t="shared" si="1"/>
        <v>17.5581</v>
      </c>
      <c r="E11" s="80">
        <f t="shared" si="1"/>
        <v>3.0818999999999996</v>
      </c>
      <c r="F11" s="80">
        <f t="shared" si="1"/>
        <v>0</v>
      </c>
      <c r="G11" s="80">
        <f t="shared" si="1"/>
        <v>0</v>
      </c>
      <c r="H11" s="80">
        <f t="shared" si="1"/>
        <v>0</v>
      </c>
      <c r="I11" s="80">
        <f t="shared" si="1"/>
        <v>0</v>
      </c>
      <c r="J11" s="80">
        <f t="shared" si="1"/>
        <v>0</v>
      </c>
      <c r="K11" s="80">
        <f t="shared" si="1"/>
        <v>7.4918999999999993</v>
      </c>
      <c r="L11" s="80">
        <f t="shared" si="1"/>
        <v>16.714500000000001</v>
      </c>
      <c r="M11" s="80">
        <f t="shared" si="1"/>
        <v>22.724699999999999</v>
      </c>
      <c r="N11" s="184">
        <f t="shared" si="3"/>
        <v>112.428</v>
      </c>
      <c r="O11" s="185">
        <f t="shared" si="2"/>
        <v>0.29999919948980813</v>
      </c>
      <c r="P11" s="186" t="s">
        <v>110</v>
      </c>
      <c r="Q11" t="s">
        <v>0</v>
      </c>
      <c r="R11" s="6">
        <f>startDate</f>
        <v>43061</v>
      </c>
    </row>
    <row r="12" spans="1:19" x14ac:dyDescent="0.25">
      <c r="A12" s="48">
        <v>2021</v>
      </c>
      <c r="B12" s="80">
        <f t="shared" si="1"/>
        <v>22.968</v>
      </c>
      <c r="C12" s="80">
        <f t="shared" si="1"/>
        <v>21.888899999999996</v>
      </c>
      <c r="D12" s="80">
        <f t="shared" si="1"/>
        <v>17.5581</v>
      </c>
      <c r="E12" s="80">
        <f t="shared" si="1"/>
        <v>3.0818999999999996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  <c r="J12" s="80">
        <f t="shared" si="1"/>
        <v>0</v>
      </c>
      <c r="K12" s="80">
        <f t="shared" si="1"/>
        <v>7.4918999999999993</v>
      </c>
      <c r="L12" s="80">
        <f t="shared" si="1"/>
        <v>16.714500000000001</v>
      </c>
      <c r="M12" s="80">
        <f t="shared" si="1"/>
        <v>22.724699999999999</v>
      </c>
      <c r="N12" s="184">
        <f t="shared" si="3"/>
        <v>112.428</v>
      </c>
      <c r="O12" s="185">
        <f t="shared" si="2"/>
        <v>0.29999919948980813</v>
      </c>
      <c r="P12" s="186"/>
    </row>
    <row r="13" spans="1:19" x14ac:dyDescent="0.25">
      <c r="A13" s="48">
        <v>2022</v>
      </c>
      <c r="B13" s="80">
        <f t="shared" si="1"/>
        <v>22.968</v>
      </c>
      <c r="C13" s="80">
        <f t="shared" si="1"/>
        <v>21.888899999999996</v>
      </c>
      <c r="D13" s="80">
        <f t="shared" si="1"/>
        <v>17.5581</v>
      </c>
      <c r="E13" s="80">
        <f t="shared" si="1"/>
        <v>3.0818999999999996</v>
      </c>
      <c r="F13" s="80">
        <f t="shared" si="1"/>
        <v>0</v>
      </c>
      <c r="G13" s="80">
        <f t="shared" si="1"/>
        <v>0</v>
      </c>
      <c r="H13" s="80">
        <f t="shared" si="1"/>
        <v>0</v>
      </c>
      <c r="I13" s="80">
        <f t="shared" si="1"/>
        <v>0</v>
      </c>
      <c r="J13" s="80">
        <f t="shared" si="1"/>
        <v>0</v>
      </c>
      <c r="K13" s="80">
        <f t="shared" si="1"/>
        <v>7.4918999999999993</v>
      </c>
      <c r="L13" s="80">
        <f t="shared" si="1"/>
        <v>16.714500000000001</v>
      </c>
      <c r="M13" s="80">
        <f t="shared" si="1"/>
        <v>22.724699999999999</v>
      </c>
      <c r="N13" s="184">
        <f t="shared" si="3"/>
        <v>112.428</v>
      </c>
      <c r="O13" s="185">
        <f t="shared" si="2"/>
        <v>0.29999919948980813</v>
      </c>
      <c r="P13" s="186"/>
      <c r="R13" s="47">
        <f>DAY(R11)-1</f>
        <v>21</v>
      </c>
    </row>
    <row r="14" spans="1:19" x14ac:dyDescent="0.25">
      <c r="A14" s="48">
        <v>2023</v>
      </c>
      <c r="B14" s="80">
        <f t="shared" si="1"/>
        <v>22.968</v>
      </c>
      <c r="C14" s="80">
        <f t="shared" si="1"/>
        <v>21.888899999999996</v>
      </c>
      <c r="D14" s="80">
        <f t="shared" si="1"/>
        <v>17.5581</v>
      </c>
      <c r="E14" s="80">
        <f t="shared" si="1"/>
        <v>3.0818999999999996</v>
      </c>
      <c r="F14" s="80">
        <f t="shared" si="1"/>
        <v>0</v>
      </c>
      <c r="G14" s="80">
        <f t="shared" si="1"/>
        <v>0</v>
      </c>
      <c r="H14" s="80">
        <f t="shared" si="1"/>
        <v>0</v>
      </c>
      <c r="I14" s="80">
        <f t="shared" si="1"/>
        <v>0</v>
      </c>
      <c r="J14" s="80">
        <f t="shared" si="1"/>
        <v>0</v>
      </c>
      <c r="K14" s="80">
        <f t="shared" si="1"/>
        <v>7.4918999999999993</v>
      </c>
      <c r="L14" s="80">
        <f t="shared" si="1"/>
        <v>12.257300000000001</v>
      </c>
      <c r="M14" s="80">
        <f t="shared" si="1"/>
        <v>0</v>
      </c>
      <c r="N14" s="184">
        <f t="shared" si="3"/>
        <v>85.246099999999998</v>
      </c>
      <c r="O14" s="185">
        <f t="shared" si="2"/>
        <v>0.2274679062122259</v>
      </c>
      <c r="P14" s="186"/>
      <c r="R14">
        <f t="shared" ref="R14" si="4">DAY(EOMONTH(R11,0))</f>
        <v>30</v>
      </c>
    </row>
    <row r="15" spans="1:19" x14ac:dyDescent="0.25">
      <c r="A15" s="48">
        <v>2024</v>
      </c>
      <c r="B15" s="80">
        <f t="shared" si="1"/>
        <v>0</v>
      </c>
      <c r="C15" s="80">
        <f t="shared" si="1"/>
        <v>0</v>
      </c>
      <c r="D15" s="80">
        <f t="shared" si="1"/>
        <v>0</v>
      </c>
      <c r="E15" s="80">
        <f t="shared" si="1"/>
        <v>0</v>
      </c>
      <c r="F15" s="80">
        <f t="shared" si="1"/>
        <v>0</v>
      </c>
      <c r="G15" s="80">
        <f t="shared" si="1"/>
        <v>0</v>
      </c>
      <c r="H15" s="80">
        <f t="shared" si="1"/>
        <v>0</v>
      </c>
      <c r="I15" s="80">
        <f t="shared" si="1"/>
        <v>0</v>
      </c>
      <c r="J15" s="80">
        <f t="shared" si="1"/>
        <v>0</v>
      </c>
      <c r="K15" s="80">
        <f t="shared" si="1"/>
        <v>0</v>
      </c>
      <c r="L15" s="80">
        <f t="shared" si="1"/>
        <v>0</v>
      </c>
      <c r="M15" s="80">
        <f t="shared" si="1"/>
        <v>0</v>
      </c>
      <c r="N15" s="81">
        <f t="shared" si="3"/>
        <v>0</v>
      </c>
      <c r="O15" s="70">
        <f t="shared" si="2"/>
        <v>0</v>
      </c>
      <c r="R15">
        <f>1-R13/R14</f>
        <v>0.30000000000000004</v>
      </c>
    </row>
    <row r="16" spans="1:19" x14ac:dyDescent="0.25">
      <c r="A16" s="48">
        <v>2025</v>
      </c>
      <c r="B16" s="80">
        <f t="shared" si="1"/>
        <v>0</v>
      </c>
      <c r="C16" s="80">
        <f t="shared" si="1"/>
        <v>0</v>
      </c>
      <c r="D16" s="80">
        <f t="shared" si="1"/>
        <v>0</v>
      </c>
      <c r="E16" s="80">
        <f t="shared" si="1"/>
        <v>0</v>
      </c>
      <c r="F16" s="80">
        <f t="shared" si="1"/>
        <v>0</v>
      </c>
      <c r="G16" s="80">
        <f t="shared" si="1"/>
        <v>0</v>
      </c>
      <c r="H16" s="80">
        <f t="shared" si="1"/>
        <v>0</v>
      </c>
      <c r="I16" s="80">
        <f t="shared" si="1"/>
        <v>0</v>
      </c>
      <c r="J16" s="80">
        <f t="shared" si="1"/>
        <v>0</v>
      </c>
      <c r="K16" s="80">
        <f t="shared" si="1"/>
        <v>0</v>
      </c>
      <c r="L16" s="80">
        <f t="shared" si="1"/>
        <v>0</v>
      </c>
      <c r="M16" s="80">
        <f t="shared" si="1"/>
        <v>0</v>
      </c>
      <c r="N16" s="81">
        <f t="shared" si="3"/>
        <v>0</v>
      </c>
      <c r="O16" s="70">
        <f t="shared" si="2"/>
        <v>0</v>
      </c>
    </row>
    <row r="17" spans="1:18" x14ac:dyDescent="0.25">
      <c r="A17" s="48">
        <v>2026</v>
      </c>
      <c r="B17" s="80">
        <f t="shared" si="1"/>
        <v>0</v>
      </c>
      <c r="C17" s="80">
        <f t="shared" si="1"/>
        <v>0</v>
      </c>
      <c r="D17" s="80">
        <f t="shared" si="1"/>
        <v>0</v>
      </c>
      <c r="E17" s="80">
        <f t="shared" si="1"/>
        <v>0</v>
      </c>
      <c r="F17" s="80">
        <f t="shared" si="1"/>
        <v>0</v>
      </c>
      <c r="G17" s="80">
        <f t="shared" si="1"/>
        <v>0</v>
      </c>
      <c r="H17" s="80">
        <f t="shared" si="1"/>
        <v>0</v>
      </c>
      <c r="I17" s="80">
        <f t="shared" si="1"/>
        <v>0</v>
      </c>
      <c r="J17" s="80">
        <f t="shared" si="1"/>
        <v>0</v>
      </c>
      <c r="K17" s="80">
        <f t="shared" si="1"/>
        <v>0</v>
      </c>
      <c r="L17" s="80">
        <f t="shared" si="1"/>
        <v>0</v>
      </c>
      <c r="M17" s="80">
        <f t="shared" si="1"/>
        <v>0</v>
      </c>
      <c r="N17" s="81">
        <f t="shared" si="3"/>
        <v>0</v>
      </c>
      <c r="O17" s="70">
        <f t="shared" si="2"/>
        <v>0</v>
      </c>
    </row>
    <row r="18" spans="1:18" x14ac:dyDescent="0.25">
      <c r="A18" s="48">
        <v>2027</v>
      </c>
      <c r="B18" s="80">
        <f t="shared" si="1"/>
        <v>0</v>
      </c>
      <c r="C18" s="80">
        <f t="shared" si="1"/>
        <v>0</v>
      </c>
      <c r="D18" s="80">
        <f t="shared" si="1"/>
        <v>0</v>
      </c>
      <c r="E18" s="80">
        <f t="shared" si="1"/>
        <v>0</v>
      </c>
      <c r="F18" s="80">
        <f t="shared" si="1"/>
        <v>0</v>
      </c>
      <c r="G18" s="80">
        <f t="shared" si="1"/>
        <v>0</v>
      </c>
      <c r="H18" s="80">
        <f t="shared" si="1"/>
        <v>0</v>
      </c>
      <c r="I18" s="80">
        <f t="shared" si="1"/>
        <v>0</v>
      </c>
      <c r="J18" s="80">
        <f t="shared" si="1"/>
        <v>0</v>
      </c>
      <c r="K18" s="80">
        <f t="shared" si="1"/>
        <v>0</v>
      </c>
      <c r="L18" s="80">
        <f t="shared" si="1"/>
        <v>0</v>
      </c>
      <c r="M18" s="80">
        <f t="shared" si="1"/>
        <v>0</v>
      </c>
      <c r="N18" s="81">
        <f t="shared" si="3"/>
        <v>0</v>
      </c>
      <c r="O18" s="70">
        <f t="shared" si="2"/>
        <v>0</v>
      </c>
      <c r="Q18" s="69" t="s">
        <v>49</v>
      </c>
      <c r="R18" s="6">
        <f>DATE(YEAR(startDate)+20, MONTH(startDate), DAY(startDate))</f>
        <v>50366</v>
      </c>
    </row>
    <row r="19" spans="1:18" x14ac:dyDescent="0.25">
      <c r="A19" s="48">
        <v>2028</v>
      </c>
      <c r="B19" s="80">
        <f t="shared" si="1"/>
        <v>0</v>
      </c>
      <c r="C19" s="80">
        <f t="shared" si="1"/>
        <v>0</v>
      </c>
      <c r="D19" s="80">
        <f t="shared" si="1"/>
        <v>0</v>
      </c>
      <c r="E19" s="80">
        <f t="shared" si="1"/>
        <v>0</v>
      </c>
      <c r="F19" s="80">
        <f t="shared" ref="F19:M28" si="5">IF(AND(MONTH($R$1)=F$6,YEAR($R$1)=$A19),F$2*$R$2*$R$5,IF(AND(MONTH($S$1)=F$6,YEAR($S$1)=$A19),F$2*$R$2*$S$5,IF(AND(MONTH($R$1)&gt;F$6,YEAR($R$1)=$A19),0,IF(AND(MONTH($S$1)&lt;F$6,YEAR($S$1)=$A19),0,IF(OR(YEAR($S$1)&lt;$A19,YEAR($R$1)&gt;$A19),0,F$2*$R$2)))))</f>
        <v>0</v>
      </c>
      <c r="G19" s="80">
        <f t="shared" si="5"/>
        <v>0</v>
      </c>
      <c r="H19" s="80">
        <f t="shared" si="5"/>
        <v>0</v>
      </c>
      <c r="I19" s="80">
        <f t="shared" si="5"/>
        <v>0</v>
      </c>
      <c r="J19" s="80">
        <f t="shared" si="5"/>
        <v>0</v>
      </c>
      <c r="K19" s="80">
        <f t="shared" si="5"/>
        <v>0</v>
      </c>
      <c r="L19" s="80">
        <f t="shared" si="5"/>
        <v>0</v>
      </c>
      <c r="M19" s="80">
        <f t="shared" si="5"/>
        <v>0</v>
      </c>
      <c r="N19" s="81">
        <f t="shared" si="3"/>
        <v>0</v>
      </c>
      <c r="O19" s="70">
        <f t="shared" si="2"/>
        <v>0</v>
      </c>
      <c r="R19" s="66"/>
    </row>
    <row r="20" spans="1:18" ht="14.65" customHeight="1" x14ac:dyDescent="0.25">
      <c r="A20" s="48">
        <v>2029</v>
      </c>
      <c r="B20" s="80">
        <f t="shared" ref="B20:E28" si="6">IF(AND(MONTH($R$1)=B$6,YEAR($R$1)=$A20),B$2*$R$2*$R$5,IF(AND(MONTH($S$1)=B$6,YEAR($S$1)=$A20),B$2*$R$2*$S$5,IF(AND(MONTH($R$1)&gt;B$6,YEAR($R$1)=$A20),0,IF(AND(MONTH($S$1)&lt;B$6,YEAR($S$1)=$A20),0,IF(OR(YEAR($S$1)&lt;$A20,YEAR($R$1)&gt;$A20),0,B$2*$R$2)))))</f>
        <v>0</v>
      </c>
      <c r="C20" s="80">
        <f t="shared" si="6"/>
        <v>0</v>
      </c>
      <c r="D20" s="80">
        <f t="shared" si="6"/>
        <v>0</v>
      </c>
      <c r="E20" s="80">
        <f t="shared" si="6"/>
        <v>0</v>
      </c>
      <c r="F20" s="80">
        <f t="shared" si="5"/>
        <v>0</v>
      </c>
      <c r="G20" s="80">
        <f t="shared" si="5"/>
        <v>0</v>
      </c>
      <c r="H20" s="80">
        <f t="shared" si="5"/>
        <v>0</v>
      </c>
      <c r="I20" s="80">
        <f t="shared" si="5"/>
        <v>0</v>
      </c>
      <c r="J20" s="80">
        <f t="shared" si="5"/>
        <v>0</v>
      </c>
      <c r="K20" s="80">
        <f t="shared" si="5"/>
        <v>0</v>
      </c>
      <c r="L20" s="80">
        <f t="shared" si="5"/>
        <v>0</v>
      </c>
      <c r="M20" s="80">
        <f t="shared" si="5"/>
        <v>0</v>
      </c>
      <c r="N20" s="81">
        <f t="shared" si="3"/>
        <v>0</v>
      </c>
      <c r="O20" s="70">
        <f t="shared" si="2"/>
        <v>0</v>
      </c>
      <c r="R20" s="47">
        <f>DAY(R18)</f>
        <v>22</v>
      </c>
    </row>
    <row r="21" spans="1:18" x14ac:dyDescent="0.25">
      <c r="A21" s="48">
        <v>2030</v>
      </c>
      <c r="B21" s="80">
        <f t="shared" si="6"/>
        <v>0</v>
      </c>
      <c r="C21" s="80">
        <f t="shared" si="6"/>
        <v>0</v>
      </c>
      <c r="D21" s="80">
        <f t="shared" si="6"/>
        <v>0</v>
      </c>
      <c r="E21" s="80">
        <f t="shared" si="6"/>
        <v>0</v>
      </c>
      <c r="F21" s="80">
        <f t="shared" si="5"/>
        <v>0</v>
      </c>
      <c r="G21" s="80">
        <f t="shared" si="5"/>
        <v>0</v>
      </c>
      <c r="H21" s="80">
        <f t="shared" si="5"/>
        <v>0</v>
      </c>
      <c r="I21" s="80">
        <f t="shared" si="5"/>
        <v>0</v>
      </c>
      <c r="J21" s="80">
        <f t="shared" si="5"/>
        <v>0</v>
      </c>
      <c r="K21" s="80">
        <f t="shared" si="5"/>
        <v>0</v>
      </c>
      <c r="L21" s="80">
        <f t="shared" si="5"/>
        <v>0</v>
      </c>
      <c r="M21" s="80">
        <f t="shared" si="5"/>
        <v>0</v>
      </c>
      <c r="N21" s="81">
        <f t="shared" si="3"/>
        <v>0</v>
      </c>
      <c r="O21" s="70">
        <f t="shared" si="2"/>
        <v>0</v>
      </c>
      <c r="Q21" s="83"/>
      <c r="R21" s="66">
        <f t="shared" ref="R21" si="7">DAY(EOMONTH(R18,0))</f>
        <v>30</v>
      </c>
    </row>
    <row r="22" spans="1:18" x14ac:dyDescent="0.25">
      <c r="A22" s="48">
        <v>2031</v>
      </c>
      <c r="B22" s="80">
        <f t="shared" si="6"/>
        <v>0</v>
      </c>
      <c r="C22" s="80">
        <f t="shared" si="6"/>
        <v>0</v>
      </c>
      <c r="D22" s="80">
        <f t="shared" si="6"/>
        <v>0</v>
      </c>
      <c r="E22" s="80">
        <f t="shared" si="6"/>
        <v>0</v>
      </c>
      <c r="F22" s="80">
        <f t="shared" si="5"/>
        <v>0</v>
      </c>
      <c r="G22" s="80">
        <f t="shared" si="5"/>
        <v>0</v>
      </c>
      <c r="H22" s="80">
        <f t="shared" si="5"/>
        <v>0</v>
      </c>
      <c r="I22" s="80">
        <f t="shared" si="5"/>
        <v>0</v>
      </c>
      <c r="J22" s="80">
        <f t="shared" si="5"/>
        <v>0</v>
      </c>
      <c r="K22" s="80">
        <f t="shared" si="5"/>
        <v>0</v>
      </c>
      <c r="L22" s="80">
        <f t="shared" si="5"/>
        <v>0</v>
      </c>
      <c r="M22" s="80">
        <f t="shared" si="5"/>
        <v>0</v>
      </c>
      <c r="N22" s="81">
        <f t="shared" si="3"/>
        <v>0</v>
      </c>
      <c r="O22" s="70">
        <f t="shared" si="2"/>
        <v>0</v>
      </c>
      <c r="Q22" s="83"/>
      <c r="R22" s="28">
        <f>R20/R21</f>
        <v>0.73333333333333328</v>
      </c>
    </row>
    <row r="23" spans="1:18" x14ac:dyDescent="0.25">
      <c r="A23" s="48">
        <v>2032</v>
      </c>
      <c r="B23" s="80">
        <f t="shared" si="6"/>
        <v>0</v>
      </c>
      <c r="C23" s="80">
        <f t="shared" si="6"/>
        <v>0</v>
      </c>
      <c r="D23" s="80">
        <f t="shared" si="6"/>
        <v>0</v>
      </c>
      <c r="E23" s="80">
        <f t="shared" si="6"/>
        <v>0</v>
      </c>
      <c r="F23" s="80">
        <f t="shared" si="5"/>
        <v>0</v>
      </c>
      <c r="G23" s="80">
        <f t="shared" si="5"/>
        <v>0</v>
      </c>
      <c r="H23" s="80">
        <f t="shared" si="5"/>
        <v>0</v>
      </c>
      <c r="I23" s="80">
        <f t="shared" si="5"/>
        <v>0</v>
      </c>
      <c r="J23" s="80">
        <f t="shared" si="5"/>
        <v>0</v>
      </c>
      <c r="K23" s="80">
        <f t="shared" si="5"/>
        <v>0</v>
      </c>
      <c r="L23" s="80">
        <f t="shared" si="5"/>
        <v>0</v>
      </c>
      <c r="M23" s="80">
        <f t="shared" si="5"/>
        <v>0</v>
      </c>
      <c r="N23" s="81">
        <f t="shared" si="3"/>
        <v>0</v>
      </c>
      <c r="O23" s="70">
        <f t="shared" si="2"/>
        <v>0</v>
      </c>
    </row>
    <row r="24" spans="1:18" x14ac:dyDescent="0.25">
      <c r="A24" s="48">
        <v>2033</v>
      </c>
      <c r="B24" s="80">
        <f t="shared" si="6"/>
        <v>0</v>
      </c>
      <c r="C24" s="80">
        <f t="shared" si="6"/>
        <v>0</v>
      </c>
      <c r="D24" s="80">
        <f t="shared" si="6"/>
        <v>0</v>
      </c>
      <c r="E24" s="80">
        <f t="shared" si="6"/>
        <v>0</v>
      </c>
      <c r="F24" s="80">
        <f t="shared" si="5"/>
        <v>0</v>
      </c>
      <c r="G24" s="80">
        <f t="shared" si="5"/>
        <v>0</v>
      </c>
      <c r="H24" s="80">
        <f t="shared" si="5"/>
        <v>0</v>
      </c>
      <c r="I24" s="80">
        <f t="shared" si="5"/>
        <v>0</v>
      </c>
      <c r="J24" s="80">
        <f t="shared" si="5"/>
        <v>0</v>
      </c>
      <c r="K24" s="80">
        <f t="shared" si="5"/>
        <v>0</v>
      </c>
      <c r="L24" s="80">
        <f t="shared" si="5"/>
        <v>0</v>
      </c>
      <c r="M24" s="80">
        <f t="shared" si="5"/>
        <v>0</v>
      </c>
      <c r="N24" s="81">
        <f t="shared" si="3"/>
        <v>0</v>
      </c>
      <c r="O24" s="70">
        <f t="shared" si="2"/>
        <v>0</v>
      </c>
      <c r="Q24" s="194" t="s">
        <v>57</v>
      </c>
      <c r="R24" s="198">
        <f>'Оголошення закупівлі'!$B$26</f>
        <v>0</v>
      </c>
    </row>
    <row r="25" spans="1:18" x14ac:dyDescent="0.25">
      <c r="A25" s="48">
        <v>2034</v>
      </c>
      <c r="B25" s="80">
        <f t="shared" si="6"/>
        <v>0</v>
      </c>
      <c r="C25" s="80">
        <f t="shared" si="6"/>
        <v>0</v>
      </c>
      <c r="D25" s="80">
        <f t="shared" si="6"/>
        <v>0</v>
      </c>
      <c r="E25" s="80">
        <f t="shared" si="6"/>
        <v>0</v>
      </c>
      <c r="F25" s="80">
        <f t="shared" si="5"/>
        <v>0</v>
      </c>
      <c r="G25" s="80">
        <f t="shared" si="5"/>
        <v>0</v>
      </c>
      <c r="H25" s="80">
        <f t="shared" si="5"/>
        <v>0</v>
      </c>
      <c r="I25" s="80">
        <f t="shared" si="5"/>
        <v>0</v>
      </c>
      <c r="J25" s="80">
        <f t="shared" si="5"/>
        <v>0</v>
      </c>
      <c r="K25" s="80">
        <f t="shared" si="5"/>
        <v>0</v>
      </c>
      <c r="L25" s="80">
        <f t="shared" si="5"/>
        <v>0</v>
      </c>
      <c r="M25" s="80">
        <f t="shared" si="5"/>
        <v>0</v>
      </c>
      <c r="N25" s="81">
        <f t="shared" si="3"/>
        <v>0</v>
      </c>
      <c r="O25" s="70">
        <f t="shared" si="2"/>
        <v>0</v>
      </c>
      <c r="Q25" s="194"/>
      <c r="R25" s="198"/>
    </row>
    <row r="26" spans="1:18" ht="14.25" customHeight="1" x14ac:dyDescent="0.25">
      <c r="A26" s="48">
        <v>2035</v>
      </c>
      <c r="B26" s="80">
        <f t="shared" si="6"/>
        <v>0</v>
      </c>
      <c r="C26" s="80">
        <f t="shared" si="6"/>
        <v>0</v>
      </c>
      <c r="D26" s="80">
        <f t="shared" si="6"/>
        <v>0</v>
      </c>
      <c r="E26" s="80">
        <f t="shared" si="6"/>
        <v>0</v>
      </c>
      <c r="F26" s="80">
        <f t="shared" si="5"/>
        <v>0</v>
      </c>
      <c r="G26" s="80">
        <f t="shared" si="5"/>
        <v>0</v>
      </c>
      <c r="H26" s="80">
        <f t="shared" si="5"/>
        <v>0</v>
      </c>
      <c r="I26" s="80">
        <f t="shared" si="5"/>
        <v>0</v>
      </c>
      <c r="J26" s="80">
        <f t="shared" si="5"/>
        <v>0</v>
      </c>
      <c r="K26" s="80">
        <f t="shared" si="5"/>
        <v>0</v>
      </c>
      <c r="L26" s="80">
        <f t="shared" si="5"/>
        <v>0</v>
      </c>
      <c r="M26" s="80">
        <f t="shared" si="5"/>
        <v>0</v>
      </c>
      <c r="N26" s="81">
        <f t="shared" ref="N26:N28" si="8">SUM(B26:M26)</f>
        <v>0</v>
      </c>
      <c r="O26" s="70">
        <f t="shared" si="2"/>
        <v>0</v>
      </c>
      <c r="Q26" s="194"/>
      <c r="R26" s="198"/>
    </row>
    <row r="27" spans="1:18" s="72" customFormat="1" ht="14.25" customHeight="1" x14ac:dyDescent="0.25">
      <c r="A27" s="48">
        <v>2036</v>
      </c>
      <c r="B27" s="80">
        <f t="shared" si="6"/>
        <v>0</v>
      </c>
      <c r="C27" s="80">
        <f t="shared" si="6"/>
        <v>0</v>
      </c>
      <c r="D27" s="80">
        <f t="shared" si="6"/>
        <v>0</v>
      </c>
      <c r="E27" s="80">
        <f t="shared" si="6"/>
        <v>0</v>
      </c>
      <c r="F27" s="80">
        <f t="shared" si="5"/>
        <v>0</v>
      </c>
      <c r="G27" s="80">
        <f t="shared" si="5"/>
        <v>0</v>
      </c>
      <c r="H27" s="80">
        <f t="shared" si="5"/>
        <v>0</v>
      </c>
      <c r="I27" s="80">
        <f t="shared" si="5"/>
        <v>0</v>
      </c>
      <c r="J27" s="80">
        <f t="shared" si="5"/>
        <v>0</v>
      </c>
      <c r="K27" s="80">
        <f t="shared" si="5"/>
        <v>0</v>
      </c>
      <c r="L27" s="80">
        <f t="shared" si="5"/>
        <v>0</v>
      </c>
      <c r="M27" s="80">
        <f t="shared" si="5"/>
        <v>0</v>
      </c>
      <c r="N27" s="81">
        <f t="shared" si="8"/>
        <v>0</v>
      </c>
      <c r="O27" s="70">
        <f t="shared" si="2"/>
        <v>0</v>
      </c>
      <c r="Q27" s="75"/>
    </row>
    <row r="28" spans="1:18" s="72" customFormat="1" ht="14.25" customHeight="1" x14ac:dyDescent="0.25">
      <c r="A28" s="48">
        <v>2037</v>
      </c>
      <c r="B28" s="80">
        <f t="shared" si="6"/>
        <v>0</v>
      </c>
      <c r="C28" s="80">
        <f t="shared" si="6"/>
        <v>0</v>
      </c>
      <c r="D28" s="80">
        <f t="shared" si="6"/>
        <v>0</v>
      </c>
      <c r="E28" s="80">
        <f t="shared" si="6"/>
        <v>0</v>
      </c>
      <c r="F28" s="80">
        <f t="shared" si="5"/>
        <v>0</v>
      </c>
      <c r="G28" s="80">
        <f t="shared" si="5"/>
        <v>0</v>
      </c>
      <c r="H28" s="80">
        <f t="shared" si="5"/>
        <v>0</v>
      </c>
      <c r="I28" s="80">
        <f t="shared" si="5"/>
        <v>0</v>
      </c>
      <c r="J28" s="80">
        <f t="shared" si="5"/>
        <v>0</v>
      </c>
      <c r="K28" s="80">
        <f t="shared" si="5"/>
        <v>0</v>
      </c>
      <c r="L28" s="80">
        <f t="shared" si="5"/>
        <v>0</v>
      </c>
      <c r="M28" s="80">
        <f t="shared" si="5"/>
        <v>0</v>
      </c>
      <c r="N28" s="81">
        <f t="shared" si="8"/>
        <v>0</v>
      </c>
      <c r="O28" s="70">
        <f t="shared" si="2"/>
        <v>0</v>
      </c>
    </row>
    <row r="29" spans="1:18" s="72" customFormat="1" ht="22.15" customHeight="1" x14ac:dyDescent="0.25">
      <c r="A29" s="77"/>
      <c r="B29" s="78"/>
      <c r="C29" s="78"/>
      <c r="D29" s="78"/>
      <c r="E29" s="78"/>
      <c r="F29" s="78"/>
      <c r="G29" s="78"/>
      <c r="H29" s="78"/>
      <c r="I29" s="78"/>
      <c r="J29" s="78"/>
      <c r="K29" s="193" t="s">
        <v>51</v>
      </c>
      <c r="L29" s="193"/>
      <c r="M29" s="193"/>
      <c r="N29" s="79">
        <f>SUM(N8:N28)</f>
        <v>594.59973548387097</v>
      </c>
    </row>
    <row r="30" spans="1:18" x14ac:dyDescent="0.25">
      <c r="A30" s="189" t="s">
        <v>52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</row>
    <row r="31" spans="1:18" x14ac:dyDescent="0.25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</row>
    <row r="32" spans="1:18" s="72" customFormat="1" ht="18.75" x14ac:dyDescent="0.25">
      <c r="A32" s="71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s="72" customFormat="1" x14ac:dyDescent="0.25">
      <c r="A33" s="76" t="s">
        <v>38</v>
      </c>
      <c r="B33" s="44" t="s">
        <v>18</v>
      </c>
      <c r="C33" s="44" t="s">
        <v>19</v>
      </c>
      <c r="D33" s="44" t="s">
        <v>20</v>
      </c>
      <c r="E33" s="44" t="s">
        <v>21</v>
      </c>
      <c r="F33" s="44" t="s">
        <v>22</v>
      </c>
      <c r="G33" s="44" t="s">
        <v>23</v>
      </c>
      <c r="H33" s="44" t="s">
        <v>24</v>
      </c>
      <c r="I33" s="44" t="s">
        <v>25</v>
      </c>
      <c r="J33" s="44" t="s">
        <v>26</v>
      </c>
      <c r="K33" s="44" t="s">
        <v>27</v>
      </c>
      <c r="L33" s="44" t="s">
        <v>28</v>
      </c>
      <c r="M33" s="44" t="s">
        <v>29</v>
      </c>
      <c r="N33" s="44" t="s">
        <v>3</v>
      </c>
    </row>
    <row r="34" spans="1:14" s="72" customFormat="1" x14ac:dyDescent="0.25">
      <c r="A34" s="76">
        <v>2017</v>
      </c>
      <c r="B34" s="80">
        <f t="shared" ref="B34:M34" si="9">B8*$R$7</f>
        <v>0</v>
      </c>
      <c r="C34" s="80">
        <f t="shared" si="9"/>
        <v>0</v>
      </c>
      <c r="D34" s="80">
        <f t="shared" si="9"/>
        <v>0</v>
      </c>
      <c r="E34" s="80">
        <f t="shared" si="9"/>
        <v>0</v>
      </c>
      <c r="F34" s="80">
        <f t="shared" si="9"/>
        <v>0</v>
      </c>
      <c r="G34" s="80">
        <f t="shared" si="9"/>
        <v>0</v>
      </c>
      <c r="H34" s="80">
        <f t="shared" si="9"/>
        <v>0</v>
      </c>
      <c r="I34" s="80">
        <f t="shared" si="9"/>
        <v>0</v>
      </c>
      <c r="J34" s="80">
        <f t="shared" si="9"/>
        <v>0</v>
      </c>
      <c r="K34" s="80">
        <f t="shared" si="9"/>
        <v>0</v>
      </c>
      <c r="L34" s="80">
        <f t="shared" si="9"/>
        <v>0</v>
      </c>
      <c r="M34" s="80">
        <f t="shared" si="9"/>
        <v>0</v>
      </c>
      <c r="N34" s="81">
        <f t="shared" ref="N34:N54" si="10">SUM(B34:M34)</f>
        <v>0</v>
      </c>
    </row>
    <row r="35" spans="1:14" s="72" customFormat="1" x14ac:dyDescent="0.25">
      <c r="A35" s="76">
        <v>2018</v>
      </c>
      <c r="B35" s="80">
        <f t="shared" ref="B35:M35" si="11">B9*$R$7</f>
        <v>0</v>
      </c>
      <c r="C35" s="80">
        <f t="shared" si="11"/>
        <v>0</v>
      </c>
      <c r="D35" s="80">
        <f t="shared" si="11"/>
        <v>12710.28027048387</v>
      </c>
      <c r="E35" s="80">
        <f t="shared" si="11"/>
        <v>4068.2620949999996</v>
      </c>
      <c r="F35" s="80">
        <f t="shared" si="11"/>
        <v>0</v>
      </c>
      <c r="G35" s="80">
        <f t="shared" si="11"/>
        <v>0</v>
      </c>
      <c r="H35" s="80">
        <f t="shared" si="11"/>
        <v>0</v>
      </c>
      <c r="I35" s="80">
        <f t="shared" si="11"/>
        <v>0</v>
      </c>
      <c r="J35" s="80">
        <f t="shared" si="11"/>
        <v>0</v>
      </c>
      <c r="K35" s="80">
        <f t="shared" si="11"/>
        <v>9889.6825949999984</v>
      </c>
      <c r="L35" s="80">
        <f t="shared" si="11"/>
        <v>22063.975725</v>
      </c>
      <c r="M35" s="80">
        <f t="shared" si="11"/>
        <v>29997.740234999997</v>
      </c>
      <c r="N35" s="81">
        <f t="shared" si="10"/>
        <v>78729.940920483874</v>
      </c>
    </row>
    <row r="36" spans="1:14" s="72" customFormat="1" x14ac:dyDescent="0.25">
      <c r="A36" s="76">
        <v>2019</v>
      </c>
      <c r="B36" s="80">
        <f t="shared" ref="B36:M36" si="12">B10*$R$7</f>
        <v>30318.9084</v>
      </c>
      <c r="C36" s="80">
        <f t="shared" si="12"/>
        <v>28894.442444999993</v>
      </c>
      <c r="D36" s="80">
        <f t="shared" si="12"/>
        <v>23177.569905</v>
      </c>
      <c r="E36" s="80">
        <f t="shared" si="12"/>
        <v>4068.2620949999996</v>
      </c>
      <c r="F36" s="80">
        <f t="shared" si="12"/>
        <v>0</v>
      </c>
      <c r="G36" s="80">
        <f t="shared" si="12"/>
        <v>0</v>
      </c>
      <c r="H36" s="80">
        <f t="shared" si="12"/>
        <v>0</v>
      </c>
      <c r="I36" s="80">
        <f t="shared" si="12"/>
        <v>0</v>
      </c>
      <c r="J36" s="80">
        <f t="shared" si="12"/>
        <v>0</v>
      </c>
      <c r="K36" s="80">
        <f t="shared" si="12"/>
        <v>9889.6825949999984</v>
      </c>
      <c r="L36" s="80">
        <f t="shared" si="12"/>
        <v>22063.975725</v>
      </c>
      <c r="M36" s="80">
        <f t="shared" si="12"/>
        <v>29997.740234999997</v>
      </c>
      <c r="N36" s="81">
        <f t="shared" si="10"/>
        <v>148410.5814</v>
      </c>
    </row>
    <row r="37" spans="1:14" s="72" customFormat="1" x14ac:dyDescent="0.25">
      <c r="A37" s="76">
        <v>2020</v>
      </c>
      <c r="B37" s="80">
        <f t="shared" ref="B37:M37" si="13">B11*$R$7</f>
        <v>30318.9084</v>
      </c>
      <c r="C37" s="80">
        <f t="shared" si="13"/>
        <v>28894.442444999993</v>
      </c>
      <c r="D37" s="80">
        <f t="shared" si="13"/>
        <v>23177.569905</v>
      </c>
      <c r="E37" s="80">
        <f t="shared" si="13"/>
        <v>4068.2620949999996</v>
      </c>
      <c r="F37" s="80">
        <f t="shared" si="13"/>
        <v>0</v>
      </c>
      <c r="G37" s="80">
        <f t="shared" si="13"/>
        <v>0</v>
      </c>
      <c r="H37" s="80">
        <f t="shared" si="13"/>
        <v>0</v>
      </c>
      <c r="I37" s="80">
        <f t="shared" si="13"/>
        <v>0</v>
      </c>
      <c r="J37" s="80">
        <f t="shared" si="13"/>
        <v>0</v>
      </c>
      <c r="K37" s="80">
        <f t="shared" si="13"/>
        <v>9889.6825949999984</v>
      </c>
      <c r="L37" s="80">
        <f t="shared" si="13"/>
        <v>22063.975725</v>
      </c>
      <c r="M37" s="80">
        <f t="shared" si="13"/>
        <v>29997.740234999997</v>
      </c>
      <c r="N37" s="81">
        <f t="shared" si="10"/>
        <v>148410.5814</v>
      </c>
    </row>
    <row r="38" spans="1:14" s="72" customFormat="1" x14ac:dyDescent="0.25">
      <c r="A38" s="76">
        <v>2021</v>
      </c>
      <c r="B38" s="80">
        <f t="shared" ref="B38:M38" si="14">B12*$R$7</f>
        <v>30318.9084</v>
      </c>
      <c r="C38" s="80">
        <f t="shared" si="14"/>
        <v>28894.442444999993</v>
      </c>
      <c r="D38" s="80">
        <f t="shared" si="14"/>
        <v>23177.569905</v>
      </c>
      <c r="E38" s="80">
        <f t="shared" si="14"/>
        <v>4068.2620949999996</v>
      </c>
      <c r="F38" s="80">
        <f t="shared" si="14"/>
        <v>0</v>
      </c>
      <c r="G38" s="80">
        <f t="shared" si="14"/>
        <v>0</v>
      </c>
      <c r="H38" s="80">
        <f t="shared" si="14"/>
        <v>0</v>
      </c>
      <c r="I38" s="80">
        <f t="shared" si="14"/>
        <v>0</v>
      </c>
      <c r="J38" s="80">
        <f t="shared" si="14"/>
        <v>0</v>
      </c>
      <c r="K38" s="80">
        <f t="shared" si="14"/>
        <v>9889.6825949999984</v>
      </c>
      <c r="L38" s="80">
        <f t="shared" si="14"/>
        <v>22063.975725</v>
      </c>
      <c r="M38" s="80">
        <f t="shared" si="14"/>
        <v>29997.740234999997</v>
      </c>
      <c r="N38" s="81">
        <f t="shared" si="10"/>
        <v>148410.5814</v>
      </c>
    </row>
    <row r="39" spans="1:14" s="72" customFormat="1" x14ac:dyDescent="0.25">
      <c r="A39" s="76">
        <v>2022</v>
      </c>
      <c r="B39" s="80">
        <f t="shared" ref="B39:M39" si="15">B13*$R$7</f>
        <v>30318.9084</v>
      </c>
      <c r="C39" s="80">
        <f t="shared" si="15"/>
        <v>28894.442444999993</v>
      </c>
      <c r="D39" s="80">
        <f t="shared" si="15"/>
        <v>23177.569905</v>
      </c>
      <c r="E39" s="80">
        <f t="shared" si="15"/>
        <v>4068.2620949999996</v>
      </c>
      <c r="F39" s="80">
        <f t="shared" si="15"/>
        <v>0</v>
      </c>
      <c r="G39" s="80">
        <f t="shared" si="15"/>
        <v>0</v>
      </c>
      <c r="H39" s="80">
        <f t="shared" si="15"/>
        <v>0</v>
      </c>
      <c r="I39" s="80">
        <f t="shared" si="15"/>
        <v>0</v>
      </c>
      <c r="J39" s="80">
        <f t="shared" si="15"/>
        <v>0</v>
      </c>
      <c r="K39" s="80">
        <f t="shared" si="15"/>
        <v>9889.6825949999984</v>
      </c>
      <c r="L39" s="80">
        <f t="shared" si="15"/>
        <v>22063.975725</v>
      </c>
      <c r="M39" s="80">
        <f t="shared" si="15"/>
        <v>29997.740234999997</v>
      </c>
      <c r="N39" s="81">
        <f t="shared" si="10"/>
        <v>148410.5814</v>
      </c>
    </row>
    <row r="40" spans="1:14" s="72" customFormat="1" x14ac:dyDescent="0.25">
      <c r="A40" s="76">
        <v>2023</v>
      </c>
      <c r="B40" s="80">
        <f t="shared" ref="B40:M40" si="16">B14*$R$7</f>
        <v>30318.9084</v>
      </c>
      <c r="C40" s="80">
        <f t="shared" si="16"/>
        <v>28894.442444999993</v>
      </c>
      <c r="D40" s="80">
        <f t="shared" si="16"/>
        <v>23177.569905</v>
      </c>
      <c r="E40" s="80">
        <f t="shared" si="16"/>
        <v>4068.2620949999996</v>
      </c>
      <c r="F40" s="80">
        <f t="shared" si="16"/>
        <v>0</v>
      </c>
      <c r="G40" s="80">
        <f t="shared" si="16"/>
        <v>0</v>
      </c>
      <c r="H40" s="80">
        <f t="shared" si="16"/>
        <v>0</v>
      </c>
      <c r="I40" s="80">
        <f t="shared" si="16"/>
        <v>0</v>
      </c>
      <c r="J40" s="80">
        <f t="shared" si="16"/>
        <v>0</v>
      </c>
      <c r="K40" s="80">
        <f t="shared" si="16"/>
        <v>9889.6825949999984</v>
      </c>
      <c r="L40" s="80">
        <f t="shared" si="16"/>
        <v>16180.248865</v>
      </c>
      <c r="M40" s="80">
        <f t="shared" si="16"/>
        <v>0</v>
      </c>
      <c r="N40" s="81">
        <f t="shared" si="10"/>
        <v>112529.114305</v>
      </c>
    </row>
    <row r="41" spans="1:14" s="72" customFormat="1" x14ac:dyDescent="0.25">
      <c r="A41" s="76">
        <v>2024</v>
      </c>
      <c r="B41" s="80">
        <f t="shared" ref="B41:M41" si="17">B15*$R$7</f>
        <v>0</v>
      </c>
      <c r="C41" s="80">
        <f t="shared" si="17"/>
        <v>0</v>
      </c>
      <c r="D41" s="80">
        <f t="shared" si="17"/>
        <v>0</v>
      </c>
      <c r="E41" s="80">
        <f t="shared" si="17"/>
        <v>0</v>
      </c>
      <c r="F41" s="80">
        <f t="shared" si="17"/>
        <v>0</v>
      </c>
      <c r="G41" s="80">
        <f t="shared" si="17"/>
        <v>0</v>
      </c>
      <c r="H41" s="80">
        <f t="shared" si="17"/>
        <v>0</v>
      </c>
      <c r="I41" s="80">
        <f t="shared" si="17"/>
        <v>0</v>
      </c>
      <c r="J41" s="80">
        <f t="shared" si="17"/>
        <v>0</v>
      </c>
      <c r="K41" s="80">
        <f t="shared" si="17"/>
        <v>0</v>
      </c>
      <c r="L41" s="80">
        <f t="shared" si="17"/>
        <v>0</v>
      </c>
      <c r="M41" s="80">
        <f t="shared" si="17"/>
        <v>0</v>
      </c>
      <c r="N41" s="81">
        <f t="shared" si="10"/>
        <v>0</v>
      </c>
    </row>
    <row r="42" spans="1:14" s="72" customFormat="1" x14ac:dyDescent="0.25">
      <c r="A42" s="76">
        <v>2025</v>
      </c>
      <c r="B42" s="80">
        <f t="shared" ref="B42:M42" si="18">B16*$R$7</f>
        <v>0</v>
      </c>
      <c r="C42" s="80">
        <f t="shared" si="18"/>
        <v>0</v>
      </c>
      <c r="D42" s="80">
        <f t="shared" si="18"/>
        <v>0</v>
      </c>
      <c r="E42" s="80">
        <f t="shared" si="18"/>
        <v>0</v>
      </c>
      <c r="F42" s="80">
        <f t="shared" si="18"/>
        <v>0</v>
      </c>
      <c r="G42" s="80">
        <f t="shared" si="18"/>
        <v>0</v>
      </c>
      <c r="H42" s="80">
        <f t="shared" si="18"/>
        <v>0</v>
      </c>
      <c r="I42" s="80">
        <f t="shared" si="18"/>
        <v>0</v>
      </c>
      <c r="J42" s="80">
        <f t="shared" si="18"/>
        <v>0</v>
      </c>
      <c r="K42" s="80">
        <f t="shared" si="18"/>
        <v>0</v>
      </c>
      <c r="L42" s="80">
        <f t="shared" si="18"/>
        <v>0</v>
      </c>
      <c r="M42" s="80">
        <f t="shared" si="18"/>
        <v>0</v>
      </c>
      <c r="N42" s="81">
        <f t="shared" si="10"/>
        <v>0</v>
      </c>
    </row>
    <row r="43" spans="1:14" s="72" customFormat="1" x14ac:dyDescent="0.25">
      <c r="A43" s="76">
        <v>2026</v>
      </c>
      <c r="B43" s="80">
        <f t="shared" ref="B43:M43" si="19">B17*$R$7</f>
        <v>0</v>
      </c>
      <c r="C43" s="80">
        <f t="shared" si="19"/>
        <v>0</v>
      </c>
      <c r="D43" s="80">
        <f t="shared" si="19"/>
        <v>0</v>
      </c>
      <c r="E43" s="80">
        <f t="shared" si="19"/>
        <v>0</v>
      </c>
      <c r="F43" s="80">
        <f t="shared" si="19"/>
        <v>0</v>
      </c>
      <c r="G43" s="80">
        <f t="shared" si="19"/>
        <v>0</v>
      </c>
      <c r="H43" s="80">
        <f t="shared" si="19"/>
        <v>0</v>
      </c>
      <c r="I43" s="80">
        <f t="shared" si="19"/>
        <v>0</v>
      </c>
      <c r="J43" s="80">
        <f t="shared" si="19"/>
        <v>0</v>
      </c>
      <c r="K43" s="80">
        <f t="shared" si="19"/>
        <v>0</v>
      </c>
      <c r="L43" s="80">
        <f t="shared" si="19"/>
        <v>0</v>
      </c>
      <c r="M43" s="80">
        <f t="shared" si="19"/>
        <v>0</v>
      </c>
      <c r="N43" s="81">
        <f t="shared" si="10"/>
        <v>0</v>
      </c>
    </row>
    <row r="44" spans="1:14" s="72" customFormat="1" x14ac:dyDescent="0.25">
      <c r="A44" s="76">
        <v>2027</v>
      </c>
      <c r="B44" s="80">
        <f t="shared" ref="B44:M44" si="20">B18*$R$7</f>
        <v>0</v>
      </c>
      <c r="C44" s="80">
        <f t="shared" si="20"/>
        <v>0</v>
      </c>
      <c r="D44" s="80">
        <f t="shared" si="20"/>
        <v>0</v>
      </c>
      <c r="E44" s="80">
        <f t="shared" si="20"/>
        <v>0</v>
      </c>
      <c r="F44" s="80">
        <f t="shared" si="20"/>
        <v>0</v>
      </c>
      <c r="G44" s="80">
        <f t="shared" si="20"/>
        <v>0</v>
      </c>
      <c r="H44" s="80">
        <f t="shared" si="20"/>
        <v>0</v>
      </c>
      <c r="I44" s="80">
        <f t="shared" si="20"/>
        <v>0</v>
      </c>
      <c r="J44" s="80">
        <f t="shared" si="20"/>
        <v>0</v>
      </c>
      <c r="K44" s="80">
        <f t="shared" si="20"/>
        <v>0</v>
      </c>
      <c r="L44" s="80">
        <f t="shared" si="20"/>
        <v>0</v>
      </c>
      <c r="M44" s="80">
        <f t="shared" si="20"/>
        <v>0</v>
      </c>
      <c r="N44" s="81">
        <f t="shared" si="10"/>
        <v>0</v>
      </c>
    </row>
    <row r="45" spans="1:14" s="72" customFormat="1" x14ac:dyDescent="0.25">
      <c r="A45" s="76">
        <v>2028</v>
      </c>
      <c r="B45" s="80">
        <f t="shared" ref="B45:M45" si="21">B19*$R$7</f>
        <v>0</v>
      </c>
      <c r="C45" s="80">
        <f t="shared" si="21"/>
        <v>0</v>
      </c>
      <c r="D45" s="80">
        <f t="shared" si="21"/>
        <v>0</v>
      </c>
      <c r="E45" s="80">
        <f t="shared" si="21"/>
        <v>0</v>
      </c>
      <c r="F45" s="80">
        <f t="shared" si="21"/>
        <v>0</v>
      </c>
      <c r="G45" s="80">
        <f t="shared" si="21"/>
        <v>0</v>
      </c>
      <c r="H45" s="80">
        <f t="shared" si="21"/>
        <v>0</v>
      </c>
      <c r="I45" s="80">
        <f t="shared" si="21"/>
        <v>0</v>
      </c>
      <c r="J45" s="80">
        <f t="shared" si="21"/>
        <v>0</v>
      </c>
      <c r="K45" s="80">
        <f t="shared" si="21"/>
        <v>0</v>
      </c>
      <c r="L45" s="80">
        <f t="shared" si="21"/>
        <v>0</v>
      </c>
      <c r="M45" s="80">
        <f t="shared" si="21"/>
        <v>0</v>
      </c>
      <c r="N45" s="81">
        <f t="shared" si="10"/>
        <v>0</v>
      </c>
    </row>
    <row r="46" spans="1:14" s="72" customFormat="1" x14ac:dyDescent="0.25">
      <c r="A46" s="76">
        <v>2029</v>
      </c>
      <c r="B46" s="80">
        <f t="shared" ref="B46:M46" si="22">B20*$R$7</f>
        <v>0</v>
      </c>
      <c r="C46" s="80">
        <f t="shared" si="22"/>
        <v>0</v>
      </c>
      <c r="D46" s="80">
        <f t="shared" si="22"/>
        <v>0</v>
      </c>
      <c r="E46" s="80">
        <f t="shared" si="22"/>
        <v>0</v>
      </c>
      <c r="F46" s="80">
        <f t="shared" si="22"/>
        <v>0</v>
      </c>
      <c r="G46" s="80">
        <f t="shared" si="22"/>
        <v>0</v>
      </c>
      <c r="H46" s="80">
        <f t="shared" si="22"/>
        <v>0</v>
      </c>
      <c r="I46" s="80">
        <f t="shared" si="22"/>
        <v>0</v>
      </c>
      <c r="J46" s="80">
        <f t="shared" si="22"/>
        <v>0</v>
      </c>
      <c r="K46" s="80">
        <f t="shared" si="22"/>
        <v>0</v>
      </c>
      <c r="L46" s="80">
        <f t="shared" si="22"/>
        <v>0</v>
      </c>
      <c r="M46" s="80">
        <f t="shared" si="22"/>
        <v>0</v>
      </c>
      <c r="N46" s="81">
        <f t="shared" si="10"/>
        <v>0</v>
      </c>
    </row>
    <row r="47" spans="1:14" s="72" customFormat="1" x14ac:dyDescent="0.25">
      <c r="A47" s="76">
        <v>2030</v>
      </c>
      <c r="B47" s="80">
        <f t="shared" ref="B47:M47" si="23">B21*$R$7</f>
        <v>0</v>
      </c>
      <c r="C47" s="80">
        <f t="shared" si="23"/>
        <v>0</v>
      </c>
      <c r="D47" s="80">
        <f t="shared" si="23"/>
        <v>0</v>
      </c>
      <c r="E47" s="80">
        <f t="shared" si="23"/>
        <v>0</v>
      </c>
      <c r="F47" s="80">
        <f t="shared" si="23"/>
        <v>0</v>
      </c>
      <c r="G47" s="80">
        <f t="shared" si="23"/>
        <v>0</v>
      </c>
      <c r="H47" s="80">
        <f t="shared" si="23"/>
        <v>0</v>
      </c>
      <c r="I47" s="80">
        <f t="shared" si="23"/>
        <v>0</v>
      </c>
      <c r="J47" s="80">
        <f t="shared" si="23"/>
        <v>0</v>
      </c>
      <c r="K47" s="80">
        <f t="shared" si="23"/>
        <v>0</v>
      </c>
      <c r="L47" s="80">
        <f t="shared" si="23"/>
        <v>0</v>
      </c>
      <c r="M47" s="80">
        <f t="shared" si="23"/>
        <v>0</v>
      </c>
      <c r="N47" s="81">
        <f t="shared" si="10"/>
        <v>0</v>
      </c>
    </row>
    <row r="48" spans="1:14" s="72" customFormat="1" x14ac:dyDescent="0.25">
      <c r="A48" s="76">
        <v>2031</v>
      </c>
      <c r="B48" s="80">
        <f t="shared" ref="B48:M48" si="24">B22*$R$7</f>
        <v>0</v>
      </c>
      <c r="C48" s="80">
        <f t="shared" si="24"/>
        <v>0</v>
      </c>
      <c r="D48" s="80">
        <f t="shared" si="24"/>
        <v>0</v>
      </c>
      <c r="E48" s="80">
        <f t="shared" si="24"/>
        <v>0</v>
      </c>
      <c r="F48" s="80">
        <f t="shared" si="24"/>
        <v>0</v>
      </c>
      <c r="G48" s="80">
        <f t="shared" si="24"/>
        <v>0</v>
      </c>
      <c r="H48" s="80">
        <f t="shared" si="24"/>
        <v>0</v>
      </c>
      <c r="I48" s="80">
        <f t="shared" si="24"/>
        <v>0</v>
      </c>
      <c r="J48" s="80">
        <f t="shared" si="24"/>
        <v>0</v>
      </c>
      <c r="K48" s="80">
        <f t="shared" si="24"/>
        <v>0</v>
      </c>
      <c r="L48" s="80">
        <f t="shared" si="24"/>
        <v>0</v>
      </c>
      <c r="M48" s="80">
        <f t="shared" si="24"/>
        <v>0</v>
      </c>
      <c r="N48" s="81">
        <f t="shared" si="10"/>
        <v>0</v>
      </c>
    </row>
    <row r="49" spans="1:16" s="72" customFormat="1" x14ac:dyDescent="0.25">
      <c r="A49" s="76">
        <v>2032</v>
      </c>
      <c r="B49" s="80">
        <f t="shared" ref="B49:M49" si="25">B23*$R$7</f>
        <v>0</v>
      </c>
      <c r="C49" s="80">
        <f t="shared" si="25"/>
        <v>0</v>
      </c>
      <c r="D49" s="80">
        <f t="shared" si="25"/>
        <v>0</v>
      </c>
      <c r="E49" s="80">
        <f t="shared" si="25"/>
        <v>0</v>
      </c>
      <c r="F49" s="80">
        <f t="shared" si="25"/>
        <v>0</v>
      </c>
      <c r="G49" s="80">
        <f t="shared" si="25"/>
        <v>0</v>
      </c>
      <c r="H49" s="80">
        <f t="shared" si="25"/>
        <v>0</v>
      </c>
      <c r="I49" s="80">
        <f t="shared" si="25"/>
        <v>0</v>
      </c>
      <c r="J49" s="80">
        <f t="shared" si="25"/>
        <v>0</v>
      </c>
      <c r="K49" s="80">
        <f t="shared" si="25"/>
        <v>0</v>
      </c>
      <c r="L49" s="80">
        <f t="shared" si="25"/>
        <v>0</v>
      </c>
      <c r="M49" s="80">
        <f t="shared" si="25"/>
        <v>0</v>
      </c>
      <c r="N49" s="81">
        <f t="shared" si="10"/>
        <v>0</v>
      </c>
    </row>
    <row r="50" spans="1:16" s="72" customFormat="1" x14ac:dyDescent="0.25">
      <c r="A50" s="76">
        <v>2033</v>
      </c>
      <c r="B50" s="80">
        <f t="shared" ref="B50:M50" si="26">B24*$R$7</f>
        <v>0</v>
      </c>
      <c r="C50" s="80">
        <f t="shared" si="26"/>
        <v>0</v>
      </c>
      <c r="D50" s="80">
        <f t="shared" si="26"/>
        <v>0</v>
      </c>
      <c r="E50" s="80">
        <f t="shared" si="26"/>
        <v>0</v>
      </c>
      <c r="F50" s="80">
        <f t="shared" si="26"/>
        <v>0</v>
      </c>
      <c r="G50" s="80">
        <f t="shared" si="26"/>
        <v>0</v>
      </c>
      <c r="H50" s="80">
        <f t="shared" si="26"/>
        <v>0</v>
      </c>
      <c r="I50" s="80">
        <f t="shared" si="26"/>
        <v>0</v>
      </c>
      <c r="J50" s="80">
        <f t="shared" si="26"/>
        <v>0</v>
      </c>
      <c r="K50" s="80">
        <f t="shared" si="26"/>
        <v>0</v>
      </c>
      <c r="L50" s="80">
        <f t="shared" si="26"/>
        <v>0</v>
      </c>
      <c r="M50" s="80">
        <f t="shared" si="26"/>
        <v>0</v>
      </c>
      <c r="N50" s="81">
        <f t="shared" si="10"/>
        <v>0</v>
      </c>
    </row>
    <row r="51" spans="1:16" s="72" customFormat="1" x14ac:dyDescent="0.25">
      <c r="A51" s="76">
        <v>2034</v>
      </c>
      <c r="B51" s="80">
        <f t="shared" ref="B51:M51" si="27">B25*$R$7</f>
        <v>0</v>
      </c>
      <c r="C51" s="80">
        <f t="shared" si="27"/>
        <v>0</v>
      </c>
      <c r="D51" s="80">
        <f t="shared" si="27"/>
        <v>0</v>
      </c>
      <c r="E51" s="80">
        <f t="shared" si="27"/>
        <v>0</v>
      </c>
      <c r="F51" s="80">
        <f t="shared" si="27"/>
        <v>0</v>
      </c>
      <c r="G51" s="80">
        <f t="shared" si="27"/>
        <v>0</v>
      </c>
      <c r="H51" s="80">
        <f t="shared" si="27"/>
        <v>0</v>
      </c>
      <c r="I51" s="80">
        <f t="shared" si="27"/>
        <v>0</v>
      </c>
      <c r="J51" s="80">
        <f t="shared" si="27"/>
        <v>0</v>
      </c>
      <c r="K51" s="80">
        <f t="shared" si="27"/>
        <v>0</v>
      </c>
      <c r="L51" s="80">
        <f t="shared" si="27"/>
        <v>0</v>
      </c>
      <c r="M51" s="80">
        <f t="shared" si="27"/>
        <v>0</v>
      </c>
      <c r="N51" s="81">
        <f t="shared" si="10"/>
        <v>0</v>
      </c>
    </row>
    <row r="52" spans="1:16" s="72" customFormat="1" x14ac:dyDescent="0.25">
      <c r="A52" s="76">
        <v>2035</v>
      </c>
      <c r="B52" s="80">
        <f t="shared" ref="B52:M52" si="28">B26*$R$7</f>
        <v>0</v>
      </c>
      <c r="C52" s="80">
        <f t="shared" si="28"/>
        <v>0</v>
      </c>
      <c r="D52" s="80">
        <f t="shared" si="28"/>
        <v>0</v>
      </c>
      <c r="E52" s="80">
        <f t="shared" si="28"/>
        <v>0</v>
      </c>
      <c r="F52" s="80">
        <f t="shared" si="28"/>
        <v>0</v>
      </c>
      <c r="G52" s="80">
        <f t="shared" si="28"/>
        <v>0</v>
      </c>
      <c r="H52" s="80">
        <f t="shared" si="28"/>
        <v>0</v>
      </c>
      <c r="I52" s="80">
        <f t="shared" si="28"/>
        <v>0</v>
      </c>
      <c r="J52" s="80">
        <f t="shared" si="28"/>
        <v>0</v>
      </c>
      <c r="K52" s="80">
        <f t="shared" si="28"/>
        <v>0</v>
      </c>
      <c r="L52" s="80">
        <f t="shared" si="28"/>
        <v>0</v>
      </c>
      <c r="M52" s="80">
        <f t="shared" si="28"/>
        <v>0</v>
      </c>
      <c r="N52" s="81">
        <f t="shared" si="10"/>
        <v>0</v>
      </c>
    </row>
    <row r="53" spans="1:16" s="72" customFormat="1" x14ac:dyDescent="0.25">
      <c r="A53" s="76">
        <v>2036</v>
      </c>
      <c r="B53" s="80">
        <f t="shared" ref="B53:M53" si="29">B27*$R$7</f>
        <v>0</v>
      </c>
      <c r="C53" s="80">
        <f t="shared" si="29"/>
        <v>0</v>
      </c>
      <c r="D53" s="80">
        <f t="shared" si="29"/>
        <v>0</v>
      </c>
      <c r="E53" s="80">
        <f t="shared" si="29"/>
        <v>0</v>
      </c>
      <c r="F53" s="80">
        <f t="shared" si="29"/>
        <v>0</v>
      </c>
      <c r="G53" s="80">
        <f t="shared" si="29"/>
        <v>0</v>
      </c>
      <c r="H53" s="80">
        <f t="shared" si="29"/>
        <v>0</v>
      </c>
      <c r="I53" s="80">
        <f t="shared" si="29"/>
        <v>0</v>
      </c>
      <c r="J53" s="80">
        <f t="shared" si="29"/>
        <v>0</v>
      </c>
      <c r="K53" s="80">
        <f t="shared" si="29"/>
        <v>0</v>
      </c>
      <c r="L53" s="80">
        <f t="shared" si="29"/>
        <v>0</v>
      </c>
      <c r="M53" s="80">
        <f t="shared" si="29"/>
        <v>0</v>
      </c>
      <c r="N53" s="81">
        <f t="shared" si="10"/>
        <v>0</v>
      </c>
    </row>
    <row r="54" spans="1:16" s="72" customFormat="1" x14ac:dyDescent="0.25">
      <c r="A54" s="76">
        <v>2037</v>
      </c>
      <c r="B54" s="80">
        <f t="shared" ref="B54:M54" si="30">B28*$R$7</f>
        <v>0</v>
      </c>
      <c r="C54" s="80">
        <f t="shared" si="30"/>
        <v>0</v>
      </c>
      <c r="D54" s="80">
        <f t="shared" si="30"/>
        <v>0</v>
      </c>
      <c r="E54" s="80">
        <f t="shared" si="30"/>
        <v>0</v>
      </c>
      <c r="F54" s="80">
        <f t="shared" si="30"/>
        <v>0</v>
      </c>
      <c r="G54" s="80">
        <f t="shared" si="30"/>
        <v>0</v>
      </c>
      <c r="H54" s="80">
        <f t="shared" si="30"/>
        <v>0</v>
      </c>
      <c r="I54" s="80">
        <f t="shared" si="30"/>
        <v>0</v>
      </c>
      <c r="J54" s="80">
        <f t="shared" si="30"/>
        <v>0</v>
      </c>
      <c r="K54" s="80">
        <f t="shared" si="30"/>
        <v>0</v>
      </c>
      <c r="L54" s="80">
        <f t="shared" si="30"/>
        <v>0</v>
      </c>
      <c r="M54" s="80">
        <f t="shared" si="30"/>
        <v>0</v>
      </c>
      <c r="N54" s="81">
        <f t="shared" si="10"/>
        <v>0</v>
      </c>
    </row>
    <row r="55" spans="1:16" s="72" customFormat="1" ht="18.75" x14ac:dyDescent="0.25">
      <c r="A55" s="44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193" t="s">
        <v>51</v>
      </c>
      <c r="M55" s="193"/>
      <c r="N55" s="79">
        <f>SUM(N34:N54)</f>
        <v>784901.38082548394</v>
      </c>
    </row>
    <row r="56" spans="1:16" s="72" customFormat="1" ht="44.65" customHeight="1" x14ac:dyDescent="0.25">
      <c r="A56" s="200" t="s">
        <v>53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</row>
    <row r="57" spans="1:16" ht="42.4" customHeight="1" x14ac:dyDescent="0.25">
      <c r="A57" s="196" t="s">
        <v>38</v>
      </c>
      <c r="B57" s="197" t="s">
        <v>18</v>
      </c>
      <c r="C57" s="197" t="s">
        <v>19</v>
      </c>
      <c r="D57" s="197" t="s">
        <v>20</v>
      </c>
      <c r="E57" s="197" t="s">
        <v>21</v>
      </c>
      <c r="F57" s="197" t="s">
        <v>22</v>
      </c>
      <c r="G57" s="197" t="s">
        <v>23</v>
      </c>
      <c r="H57" s="197" t="s">
        <v>24</v>
      </c>
      <c r="I57" s="197" t="s">
        <v>25</v>
      </c>
      <c r="J57" s="197" t="s">
        <v>26</v>
      </c>
      <c r="K57" s="197" t="s">
        <v>27</v>
      </c>
      <c r="L57" s="197" t="s">
        <v>28</v>
      </c>
      <c r="M57" s="197" t="s">
        <v>29</v>
      </c>
      <c r="N57" s="197" t="s">
        <v>3</v>
      </c>
      <c r="O57" s="196" t="s">
        <v>59</v>
      </c>
      <c r="P57" s="196" t="s">
        <v>53</v>
      </c>
    </row>
    <row r="58" spans="1:16" ht="45" customHeight="1" x14ac:dyDescent="0.25">
      <c r="A58" s="196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6"/>
      <c r="P58" s="196"/>
    </row>
    <row r="59" spans="1:16" x14ac:dyDescent="0.25">
      <c r="A59" s="48">
        <v>2017</v>
      </c>
      <c r="B59" s="80">
        <f t="shared" ref="B59:B79" si="31">IF(AND(MONTH($R$11)=B$6,YEAR($R$11)=$A59),B$2*$R$2*$R$15*$R$7,IF(AND(MONTH($R$11)&gt;B$6,YEAR($R$11)=$A59),0,IF(OR(YEAR($R$18)&lt;$A59,YEAR($R$11)&gt;$A59),0,B$2*$R$2*$R$7)))</f>
        <v>0</v>
      </c>
      <c r="C59" s="80">
        <f t="shared" ref="C59:M74" si="32">IF(AND(MONTH($R$11)=C$6,YEAR($R$11)=$A59),C$2*$R$2*$R$15*$R$7,IF(AND(MONTH($R$11)&gt;C$6,YEAR($R$11)=$A59),0,IF(OR(YEAR($R$18)&lt;$A59,YEAR($R$11)&gt;$A59),0,C$2*$R$2*$R$7)))</f>
        <v>0</v>
      </c>
      <c r="D59" s="80">
        <f t="shared" si="32"/>
        <v>0</v>
      </c>
      <c r="E59" s="80">
        <f t="shared" si="32"/>
        <v>0</v>
      </c>
      <c r="F59" s="80">
        <f t="shared" si="32"/>
        <v>0</v>
      </c>
      <c r="G59" s="80">
        <f t="shared" si="32"/>
        <v>0</v>
      </c>
      <c r="H59" s="80">
        <f t="shared" si="32"/>
        <v>0</v>
      </c>
      <c r="I59" s="80">
        <f t="shared" si="32"/>
        <v>0</v>
      </c>
      <c r="J59" s="80">
        <f t="shared" si="32"/>
        <v>0</v>
      </c>
      <c r="K59" s="80">
        <v>0</v>
      </c>
      <c r="L59" s="80">
        <v>0</v>
      </c>
      <c r="M59" s="80">
        <v>0</v>
      </c>
      <c r="N59" s="81">
        <f t="shared" ref="N59:N79" si="33">SUM(B59:M59)</f>
        <v>0</v>
      </c>
      <c r="O59" s="87">
        <f>IF(YEAR($S$1)=$A59,$S$6*$R$24/365,IF(YEAR($S$1)&gt;$A59,0,$R$24))</f>
        <v>0</v>
      </c>
      <c r="P59" s="85">
        <f>N59-O59</f>
        <v>0</v>
      </c>
    </row>
    <row r="60" spans="1:16" x14ac:dyDescent="0.25">
      <c r="A60" s="48">
        <v>2018</v>
      </c>
      <c r="B60" s="80">
        <v>0</v>
      </c>
      <c r="C60" s="80">
        <v>0</v>
      </c>
      <c r="D60" s="80">
        <f t="shared" si="32"/>
        <v>23177.569905</v>
      </c>
      <c r="E60" s="80">
        <f t="shared" si="32"/>
        <v>4068.2620949999996</v>
      </c>
      <c r="F60" s="80">
        <f t="shared" si="32"/>
        <v>0</v>
      </c>
      <c r="G60" s="80">
        <f t="shared" si="32"/>
        <v>0</v>
      </c>
      <c r="H60" s="80">
        <f t="shared" si="32"/>
        <v>0</v>
      </c>
      <c r="I60" s="80">
        <f t="shared" si="32"/>
        <v>0</v>
      </c>
      <c r="J60" s="80">
        <f t="shared" si="32"/>
        <v>0</v>
      </c>
      <c r="K60" s="80">
        <f t="shared" si="32"/>
        <v>9889.6825949999984</v>
      </c>
      <c r="L60" s="80">
        <f t="shared" si="32"/>
        <v>22063.975725</v>
      </c>
      <c r="M60" s="80">
        <f t="shared" si="32"/>
        <v>29997.740234999997</v>
      </c>
      <c r="N60" s="81">
        <f t="shared" si="33"/>
        <v>89197.230554999987</v>
      </c>
      <c r="O60" s="87">
        <f t="shared" ref="O60:O79" si="34">IF(YEAR($S$1)=$A60,$S$6*$R$24/365,IF(YEAR($S$1)&gt;$A60,0,$R$24))</f>
        <v>0</v>
      </c>
      <c r="P60" s="85">
        <f t="shared" ref="P60:P79" si="35">N60-O60</f>
        <v>89197.230554999987</v>
      </c>
    </row>
    <row r="61" spans="1:16" x14ac:dyDescent="0.25">
      <c r="A61" s="48">
        <v>2019</v>
      </c>
      <c r="B61" s="80">
        <f t="shared" si="31"/>
        <v>30318.9084</v>
      </c>
      <c r="C61" s="80">
        <f t="shared" si="32"/>
        <v>28894.442444999993</v>
      </c>
      <c r="D61" s="80">
        <f t="shared" si="32"/>
        <v>23177.569905</v>
      </c>
      <c r="E61" s="80">
        <f t="shared" si="32"/>
        <v>4068.2620949999996</v>
      </c>
      <c r="F61" s="80">
        <f t="shared" si="32"/>
        <v>0</v>
      </c>
      <c r="G61" s="80">
        <f t="shared" si="32"/>
        <v>0</v>
      </c>
      <c r="H61" s="80">
        <f t="shared" si="32"/>
        <v>0</v>
      </c>
      <c r="I61" s="80">
        <f t="shared" si="32"/>
        <v>0</v>
      </c>
      <c r="J61" s="80">
        <f t="shared" si="32"/>
        <v>0</v>
      </c>
      <c r="K61" s="80">
        <f t="shared" si="32"/>
        <v>9889.6825949999984</v>
      </c>
      <c r="L61" s="80">
        <f t="shared" si="32"/>
        <v>22063.975725</v>
      </c>
      <c r="M61" s="80">
        <f t="shared" si="32"/>
        <v>29997.740234999997</v>
      </c>
      <c r="N61" s="81">
        <f t="shared" si="33"/>
        <v>148410.5814</v>
      </c>
      <c r="O61" s="87">
        <f t="shared" si="34"/>
        <v>0</v>
      </c>
      <c r="P61" s="85">
        <f t="shared" si="35"/>
        <v>148410.5814</v>
      </c>
    </row>
    <row r="62" spans="1:16" x14ac:dyDescent="0.25">
      <c r="A62" s="48">
        <v>2020</v>
      </c>
      <c r="B62" s="80">
        <f t="shared" si="31"/>
        <v>30318.9084</v>
      </c>
      <c r="C62" s="80">
        <f t="shared" si="32"/>
        <v>28894.442444999993</v>
      </c>
      <c r="D62" s="80">
        <f t="shared" si="32"/>
        <v>23177.569905</v>
      </c>
      <c r="E62" s="80">
        <f t="shared" si="32"/>
        <v>4068.2620949999996</v>
      </c>
      <c r="F62" s="80">
        <f t="shared" si="32"/>
        <v>0</v>
      </c>
      <c r="G62" s="80">
        <f t="shared" si="32"/>
        <v>0</v>
      </c>
      <c r="H62" s="80">
        <f t="shared" si="32"/>
        <v>0</v>
      </c>
      <c r="I62" s="80">
        <f t="shared" si="32"/>
        <v>0</v>
      </c>
      <c r="J62" s="80">
        <f t="shared" si="32"/>
        <v>0</v>
      </c>
      <c r="K62" s="80">
        <f t="shared" si="32"/>
        <v>9889.6825949999984</v>
      </c>
      <c r="L62" s="80">
        <f t="shared" si="32"/>
        <v>22063.975725</v>
      </c>
      <c r="M62" s="80">
        <f t="shared" si="32"/>
        <v>29997.740234999997</v>
      </c>
      <c r="N62" s="81">
        <f t="shared" si="33"/>
        <v>148410.5814</v>
      </c>
      <c r="O62" s="87">
        <f t="shared" si="34"/>
        <v>0</v>
      </c>
      <c r="P62" s="85">
        <f t="shared" si="35"/>
        <v>148410.5814</v>
      </c>
    </row>
    <row r="63" spans="1:16" x14ac:dyDescent="0.25">
      <c r="A63" s="48">
        <v>2021</v>
      </c>
      <c r="B63" s="80">
        <f t="shared" si="31"/>
        <v>30318.9084</v>
      </c>
      <c r="C63" s="80">
        <f t="shared" si="32"/>
        <v>28894.442444999993</v>
      </c>
      <c r="D63" s="80">
        <f t="shared" si="32"/>
        <v>23177.569905</v>
      </c>
      <c r="E63" s="80">
        <f t="shared" si="32"/>
        <v>4068.2620949999996</v>
      </c>
      <c r="F63" s="80">
        <f t="shared" si="32"/>
        <v>0</v>
      </c>
      <c r="G63" s="80">
        <f t="shared" si="32"/>
        <v>0</v>
      </c>
      <c r="H63" s="80">
        <f t="shared" si="32"/>
        <v>0</v>
      </c>
      <c r="I63" s="80">
        <f t="shared" si="32"/>
        <v>0</v>
      </c>
      <c r="J63" s="80">
        <f t="shared" si="32"/>
        <v>0</v>
      </c>
      <c r="K63" s="80">
        <f t="shared" si="32"/>
        <v>9889.6825949999984</v>
      </c>
      <c r="L63" s="80">
        <f t="shared" si="32"/>
        <v>22063.975725</v>
      </c>
      <c r="M63" s="80">
        <f t="shared" si="32"/>
        <v>29997.740234999997</v>
      </c>
      <c r="N63" s="81">
        <f t="shared" si="33"/>
        <v>148410.5814</v>
      </c>
      <c r="O63" s="87">
        <f t="shared" si="34"/>
        <v>0</v>
      </c>
      <c r="P63" s="85">
        <f t="shared" si="35"/>
        <v>148410.5814</v>
      </c>
    </row>
    <row r="64" spans="1:16" x14ac:dyDescent="0.25">
      <c r="A64" s="48">
        <v>2022</v>
      </c>
      <c r="B64" s="80">
        <f t="shared" si="31"/>
        <v>30318.9084</v>
      </c>
      <c r="C64" s="80">
        <f t="shared" si="32"/>
        <v>28894.442444999993</v>
      </c>
      <c r="D64" s="80">
        <f t="shared" si="32"/>
        <v>23177.569905</v>
      </c>
      <c r="E64" s="80">
        <f t="shared" si="32"/>
        <v>4068.2620949999996</v>
      </c>
      <c r="F64" s="80">
        <f t="shared" si="32"/>
        <v>0</v>
      </c>
      <c r="G64" s="80">
        <f t="shared" si="32"/>
        <v>0</v>
      </c>
      <c r="H64" s="80">
        <f t="shared" si="32"/>
        <v>0</v>
      </c>
      <c r="I64" s="80">
        <f t="shared" si="32"/>
        <v>0</v>
      </c>
      <c r="J64" s="80">
        <f t="shared" si="32"/>
        <v>0</v>
      </c>
      <c r="K64" s="80">
        <f t="shared" si="32"/>
        <v>9889.6825949999984</v>
      </c>
      <c r="L64" s="80">
        <f t="shared" si="32"/>
        <v>22063.975725</v>
      </c>
      <c r="M64" s="80">
        <f t="shared" si="32"/>
        <v>29997.740234999997</v>
      </c>
      <c r="N64" s="81">
        <f t="shared" si="33"/>
        <v>148410.5814</v>
      </c>
      <c r="O64" s="87">
        <f t="shared" si="34"/>
        <v>0</v>
      </c>
      <c r="P64" s="85">
        <f t="shared" si="35"/>
        <v>148410.5814</v>
      </c>
    </row>
    <row r="65" spans="1:16" x14ac:dyDescent="0.25">
      <c r="A65" s="48">
        <v>2023</v>
      </c>
      <c r="B65" s="80">
        <f t="shared" si="31"/>
        <v>30318.9084</v>
      </c>
      <c r="C65" s="80">
        <f t="shared" si="32"/>
        <v>28894.442444999993</v>
      </c>
      <c r="D65" s="80">
        <f t="shared" si="32"/>
        <v>23177.569905</v>
      </c>
      <c r="E65" s="80">
        <f t="shared" si="32"/>
        <v>4068.2620949999996</v>
      </c>
      <c r="F65" s="80">
        <f t="shared" si="32"/>
        <v>0</v>
      </c>
      <c r="G65" s="80">
        <f t="shared" si="32"/>
        <v>0</v>
      </c>
      <c r="H65" s="80">
        <f t="shared" si="32"/>
        <v>0</v>
      </c>
      <c r="I65" s="80">
        <f t="shared" si="32"/>
        <v>0</v>
      </c>
      <c r="J65" s="80">
        <f t="shared" si="32"/>
        <v>0</v>
      </c>
      <c r="K65" s="80">
        <f t="shared" si="32"/>
        <v>9889.6825949999984</v>
      </c>
      <c r="L65" s="80">
        <f t="shared" si="32"/>
        <v>22063.975725</v>
      </c>
      <c r="M65" s="80">
        <f t="shared" si="32"/>
        <v>29997.740234999997</v>
      </c>
      <c r="N65" s="81">
        <f t="shared" si="33"/>
        <v>148410.5814</v>
      </c>
      <c r="O65" s="87">
        <f t="shared" si="34"/>
        <v>0</v>
      </c>
      <c r="P65" s="85">
        <f t="shared" si="35"/>
        <v>148410.5814</v>
      </c>
    </row>
    <row r="66" spans="1:16" x14ac:dyDescent="0.25">
      <c r="A66" s="48">
        <v>2024</v>
      </c>
      <c r="B66" s="80">
        <f t="shared" si="31"/>
        <v>30318.9084</v>
      </c>
      <c r="C66" s="80">
        <f t="shared" si="32"/>
        <v>28894.442444999993</v>
      </c>
      <c r="D66" s="80">
        <f t="shared" si="32"/>
        <v>23177.569905</v>
      </c>
      <c r="E66" s="80">
        <f t="shared" si="32"/>
        <v>4068.2620949999996</v>
      </c>
      <c r="F66" s="80">
        <f t="shared" si="32"/>
        <v>0</v>
      </c>
      <c r="G66" s="80">
        <f t="shared" si="32"/>
        <v>0</v>
      </c>
      <c r="H66" s="80">
        <f t="shared" si="32"/>
        <v>0</v>
      </c>
      <c r="I66" s="80">
        <f t="shared" si="32"/>
        <v>0</v>
      </c>
      <c r="J66" s="80">
        <f t="shared" si="32"/>
        <v>0</v>
      </c>
      <c r="K66" s="80">
        <f t="shared" si="32"/>
        <v>9889.6825949999984</v>
      </c>
      <c r="L66" s="80">
        <f t="shared" si="32"/>
        <v>22063.975725</v>
      </c>
      <c r="M66" s="80">
        <f t="shared" si="32"/>
        <v>29997.740234999997</v>
      </c>
      <c r="N66" s="81">
        <f t="shared" si="33"/>
        <v>148410.5814</v>
      </c>
      <c r="O66" s="87">
        <f t="shared" si="34"/>
        <v>0</v>
      </c>
      <c r="P66" s="85">
        <f t="shared" si="35"/>
        <v>148410.5814</v>
      </c>
    </row>
    <row r="67" spans="1:16" x14ac:dyDescent="0.25">
      <c r="A67" s="48">
        <v>2025</v>
      </c>
      <c r="B67" s="80">
        <f t="shared" si="31"/>
        <v>30318.9084</v>
      </c>
      <c r="C67" s="80">
        <f t="shared" si="32"/>
        <v>28894.442444999993</v>
      </c>
      <c r="D67" s="80">
        <f t="shared" si="32"/>
        <v>23177.569905</v>
      </c>
      <c r="E67" s="80">
        <f t="shared" si="32"/>
        <v>4068.2620949999996</v>
      </c>
      <c r="F67" s="80">
        <f t="shared" si="32"/>
        <v>0</v>
      </c>
      <c r="G67" s="80">
        <f t="shared" si="32"/>
        <v>0</v>
      </c>
      <c r="H67" s="80">
        <f t="shared" si="32"/>
        <v>0</v>
      </c>
      <c r="I67" s="80">
        <f t="shared" si="32"/>
        <v>0</v>
      </c>
      <c r="J67" s="80">
        <f t="shared" si="32"/>
        <v>0</v>
      </c>
      <c r="K67" s="80">
        <f t="shared" si="32"/>
        <v>9889.6825949999984</v>
      </c>
      <c r="L67" s="80">
        <f t="shared" si="32"/>
        <v>22063.975725</v>
      </c>
      <c r="M67" s="80">
        <f t="shared" si="32"/>
        <v>29997.740234999997</v>
      </c>
      <c r="N67" s="81">
        <f t="shared" si="33"/>
        <v>148410.5814</v>
      </c>
      <c r="O67" s="87">
        <f t="shared" si="34"/>
        <v>0</v>
      </c>
      <c r="P67" s="85">
        <f t="shared" si="35"/>
        <v>148410.5814</v>
      </c>
    </row>
    <row r="68" spans="1:16" x14ac:dyDescent="0.25">
      <c r="A68" s="48">
        <v>2026</v>
      </c>
      <c r="B68" s="80">
        <f t="shared" si="31"/>
        <v>30318.9084</v>
      </c>
      <c r="C68" s="80">
        <f t="shared" si="32"/>
        <v>28894.442444999993</v>
      </c>
      <c r="D68" s="80">
        <f t="shared" si="32"/>
        <v>23177.569905</v>
      </c>
      <c r="E68" s="80">
        <f t="shared" si="32"/>
        <v>4068.2620949999996</v>
      </c>
      <c r="F68" s="80">
        <f t="shared" si="32"/>
        <v>0</v>
      </c>
      <c r="G68" s="80">
        <f t="shared" si="32"/>
        <v>0</v>
      </c>
      <c r="H68" s="80">
        <f t="shared" si="32"/>
        <v>0</v>
      </c>
      <c r="I68" s="80">
        <f t="shared" si="32"/>
        <v>0</v>
      </c>
      <c r="J68" s="80">
        <f t="shared" si="32"/>
        <v>0</v>
      </c>
      <c r="K68" s="80">
        <f t="shared" si="32"/>
        <v>9889.6825949999984</v>
      </c>
      <c r="L68" s="80">
        <f t="shared" si="32"/>
        <v>22063.975725</v>
      </c>
      <c r="M68" s="80">
        <f t="shared" si="32"/>
        <v>29997.740234999997</v>
      </c>
      <c r="N68" s="81">
        <f t="shared" si="33"/>
        <v>148410.5814</v>
      </c>
      <c r="O68" s="87">
        <f t="shared" si="34"/>
        <v>0</v>
      </c>
      <c r="P68" s="85">
        <f t="shared" si="35"/>
        <v>148410.5814</v>
      </c>
    </row>
    <row r="69" spans="1:16" x14ac:dyDescent="0.25">
      <c r="A69" s="48">
        <v>2027</v>
      </c>
      <c r="B69" s="80">
        <f t="shared" si="31"/>
        <v>30318.9084</v>
      </c>
      <c r="C69" s="80">
        <f t="shared" si="32"/>
        <v>28894.442444999993</v>
      </c>
      <c r="D69" s="80">
        <f t="shared" si="32"/>
        <v>23177.569905</v>
      </c>
      <c r="E69" s="80">
        <f t="shared" si="32"/>
        <v>4068.2620949999996</v>
      </c>
      <c r="F69" s="80">
        <f t="shared" si="32"/>
        <v>0</v>
      </c>
      <c r="G69" s="80">
        <f t="shared" si="32"/>
        <v>0</v>
      </c>
      <c r="H69" s="80">
        <f t="shared" si="32"/>
        <v>0</v>
      </c>
      <c r="I69" s="80">
        <f t="shared" si="32"/>
        <v>0</v>
      </c>
      <c r="J69" s="80">
        <f t="shared" si="32"/>
        <v>0</v>
      </c>
      <c r="K69" s="80">
        <f t="shared" si="32"/>
        <v>9889.6825949999984</v>
      </c>
      <c r="L69" s="80">
        <f t="shared" si="32"/>
        <v>22063.975725</v>
      </c>
      <c r="M69" s="80">
        <f t="shared" si="32"/>
        <v>29997.740234999997</v>
      </c>
      <c r="N69" s="81">
        <f t="shared" si="33"/>
        <v>148410.5814</v>
      </c>
      <c r="O69" s="87">
        <f t="shared" si="34"/>
        <v>0</v>
      </c>
      <c r="P69" s="85">
        <f t="shared" si="35"/>
        <v>148410.5814</v>
      </c>
    </row>
    <row r="70" spans="1:16" x14ac:dyDescent="0.25">
      <c r="A70" s="48">
        <v>2028</v>
      </c>
      <c r="B70" s="80">
        <f t="shared" si="31"/>
        <v>30318.9084</v>
      </c>
      <c r="C70" s="80">
        <f t="shared" si="32"/>
        <v>28894.442444999993</v>
      </c>
      <c r="D70" s="80">
        <f t="shared" si="32"/>
        <v>23177.569905</v>
      </c>
      <c r="E70" s="80">
        <f t="shared" si="32"/>
        <v>4068.2620949999996</v>
      </c>
      <c r="F70" s="80">
        <f t="shared" si="32"/>
        <v>0</v>
      </c>
      <c r="G70" s="80">
        <f t="shared" si="32"/>
        <v>0</v>
      </c>
      <c r="H70" s="80">
        <f t="shared" si="32"/>
        <v>0</v>
      </c>
      <c r="I70" s="80">
        <f t="shared" si="32"/>
        <v>0</v>
      </c>
      <c r="J70" s="80">
        <f t="shared" si="32"/>
        <v>0</v>
      </c>
      <c r="K70" s="80">
        <f t="shared" si="32"/>
        <v>9889.6825949999984</v>
      </c>
      <c r="L70" s="80">
        <f t="shared" si="32"/>
        <v>22063.975725</v>
      </c>
      <c r="M70" s="80">
        <f t="shared" si="32"/>
        <v>29997.740234999997</v>
      </c>
      <c r="N70" s="81">
        <f t="shared" si="33"/>
        <v>148410.5814</v>
      </c>
      <c r="O70" s="87">
        <f t="shared" si="34"/>
        <v>0</v>
      </c>
      <c r="P70" s="85">
        <f t="shared" si="35"/>
        <v>148410.5814</v>
      </c>
    </row>
    <row r="71" spans="1:16" x14ac:dyDescent="0.25">
      <c r="A71" s="48">
        <v>2029</v>
      </c>
      <c r="B71" s="80">
        <f t="shared" si="31"/>
        <v>30318.9084</v>
      </c>
      <c r="C71" s="80">
        <f t="shared" si="32"/>
        <v>28894.442444999993</v>
      </c>
      <c r="D71" s="80">
        <f t="shared" si="32"/>
        <v>23177.569905</v>
      </c>
      <c r="E71" s="80">
        <f t="shared" si="32"/>
        <v>4068.2620949999996</v>
      </c>
      <c r="F71" s="80">
        <f t="shared" si="32"/>
        <v>0</v>
      </c>
      <c r="G71" s="80">
        <f t="shared" si="32"/>
        <v>0</v>
      </c>
      <c r="H71" s="80">
        <f t="shared" si="32"/>
        <v>0</v>
      </c>
      <c r="I71" s="80">
        <f t="shared" si="32"/>
        <v>0</v>
      </c>
      <c r="J71" s="80">
        <f t="shared" si="32"/>
        <v>0</v>
      </c>
      <c r="K71" s="80">
        <f t="shared" si="32"/>
        <v>9889.6825949999984</v>
      </c>
      <c r="L71" s="80">
        <f t="shared" si="32"/>
        <v>22063.975725</v>
      </c>
      <c r="M71" s="80">
        <f t="shared" si="32"/>
        <v>29997.740234999997</v>
      </c>
      <c r="N71" s="81">
        <f t="shared" si="33"/>
        <v>148410.5814</v>
      </c>
      <c r="O71" s="87">
        <f t="shared" si="34"/>
        <v>0</v>
      </c>
      <c r="P71" s="85">
        <f t="shared" si="35"/>
        <v>148410.5814</v>
      </c>
    </row>
    <row r="72" spans="1:16" x14ac:dyDescent="0.25">
      <c r="A72" s="48">
        <v>2030</v>
      </c>
      <c r="B72" s="80">
        <f t="shared" si="31"/>
        <v>30318.9084</v>
      </c>
      <c r="C72" s="80">
        <f t="shared" si="32"/>
        <v>28894.442444999993</v>
      </c>
      <c r="D72" s="80">
        <f t="shared" si="32"/>
        <v>23177.569905</v>
      </c>
      <c r="E72" s="80">
        <f t="shared" si="32"/>
        <v>4068.2620949999996</v>
      </c>
      <c r="F72" s="80">
        <f t="shared" si="32"/>
        <v>0</v>
      </c>
      <c r="G72" s="80">
        <f t="shared" si="32"/>
        <v>0</v>
      </c>
      <c r="H72" s="80">
        <f t="shared" si="32"/>
        <v>0</v>
      </c>
      <c r="I72" s="80">
        <f t="shared" si="32"/>
        <v>0</v>
      </c>
      <c r="J72" s="80">
        <f t="shared" si="32"/>
        <v>0</v>
      </c>
      <c r="K72" s="80">
        <f t="shared" si="32"/>
        <v>9889.6825949999984</v>
      </c>
      <c r="L72" s="80">
        <f t="shared" si="32"/>
        <v>22063.975725</v>
      </c>
      <c r="M72" s="80">
        <f t="shared" si="32"/>
        <v>29997.740234999997</v>
      </c>
      <c r="N72" s="81">
        <f t="shared" si="33"/>
        <v>148410.5814</v>
      </c>
      <c r="O72" s="87">
        <f t="shared" si="34"/>
        <v>0</v>
      </c>
      <c r="P72" s="85">
        <f t="shared" si="35"/>
        <v>148410.5814</v>
      </c>
    </row>
    <row r="73" spans="1:16" x14ac:dyDescent="0.25">
      <c r="A73" s="48">
        <v>2031</v>
      </c>
      <c r="B73" s="80">
        <f t="shared" si="31"/>
        <v>30318.9084</v>
      </c>
      <c r="C73" s="80">
        <f t="shared" si="32"/>
        <v>28894.442444999993</v>
      </c>
      <c r="D73" s="80">
        <f t="shared" si="32"/>
        <v>23177.569905</v>
      </c>
      <c r="E73" s="80">
        <f t="shared" si="32"/>
        <v>4068.2620949999996</v>
      </c>
      <c r="F73" s="80">
        <f t="shared" si="32"/>
        <v>0</v>
      </c>
      <c r="G73" s="80">
        <f t="shared" si="32"/>
        <v>0</v>
      </c>
      <c r="H73" s="80">
        <f t="shared" si="32"/>
        <v>0</v>
      </c>
      <c r="I73" s="80">
        <f t="shared" si="32"/>
        <v>0</v>
      </c>
      <c r="J73" s="80">
        <f t="shared" si="32"/>
        <v>0</v>
      </c>
      <c r="K73" s="80">
        <f t="shared" si="32"/>
        <v>9889.6825949999984</v>
      </c>
      <c r="L73" s="80">
        <f t="shared" si="32"/>
        <v>22063.975725</v>
      </c>
      <c r="M73" s="80">
        <f t="shared" si="32"/>
        <v>29997.740234999997</v>
      </c>
      <c r="N73" s="81">
        <f t="shared" si="33"/>
        <v>148410.5814</v>
      </c>
      <c r="O73" s="87">
        <f t="shared" si="34"/>
        <v>0</v>
      </c>
      <c r="P73" s="85">
        <f t="shared" si="35"/>
        <v>148410.5814</v>
      </c>
    </row>
    <row r="74" spans="1:16" x14ac:dyDescent="0.25">
      <c r="A74" s="48">
        <v>2032</v>
      </c>
      <c r="B74" s="80">
        <f t="shared" si="31"/>
        <v>30318.9084</v>
      </c>
      <c r="C74" s="80">
        <f t="shared" si="32"/>
        <v>28894.442444999993</v>
      </c>
      <c r="D74" s="80">
        <f t="shared" si="32"/>
        <v>23177.569905</v>
      </c>
      <c r="E74" s="80">
        <f t="shared" si="32"/>
        <v>4068.2620949999996</v>
      </c>
      <c r="F74" s="80">
        <f t="shared" si="32"/>
        <v>0</v>
      </c>
      <c r="G74" s="80">
        <f t="shared" si="32"/>
        <v>0</v>
      </c>
      <c r="H74" s="80">
        <f t="shared" si="32"/>
        <v>0</v>
      </c>
      <c r="I74" s="80">
        <f t="shared" si="32"/>
        <v>0</v>
      </c>
      <c r="J74" s="80">
        <f t="shared" si="32"/>
        <v>0</v>
      </c>
      <c r="K74" s="80">
        <f t="shared" si="32"/>
        <v>9889.6825949999984</v>
      </c>
      <c r="L74" s="80">
        <f t="shared" si="32"/>
        <v>22063.975725</v>
      </c>
      <c r="M74" s="80">
        <f t="shared" si="32"/>
        <v>29997.740234999997</v>
      </c>
      <c r="N74" s="81">
        <f t="shared" si="33"/>
        <v>148410.5814</v>
      </c>
      <c r="O74" s="87">
        <f t="shared" si="34"/>
        <v>0</v>
      </c>
      <c r="P74" s="85">
        <f t="shared" si="35"/>
        <v>148410.5814</v>
      </c>
    </row>
    <row r="75" spans="1:16" x14ac:dyDescent="0.25">
      <c r="A75" s="48">
        <v>2033</v>
      </c>
      <c r="B75" s="80">
        <f t="shared" si="31"/>
        <v>30318.9084</v>
      </c>
      <c r="C75" s="80">
        <f t="shared" ref="C75:M79" si="36">IF(AND(MONTH($R$11)=C$6,YEAR($R$11)=$A75),C$2*$R$2*$R$15*$R$7,IF(AND(MONTH($R$11)&gt;C$6,YEAR($R$11)=$A75),0,IF(OR(YEAR($R$18)&lt;$A75,YEAR($R$11)&gt;$A75),0,C$2*$R$2*$R$7)))</f>
        <v>28894.442444999993</v>
      </c>
      <c r="D75" s="80">
        <f t="shared" si="36"/>
        <v>23177.569905</v>
      </c>
      <c r="E75" s="80">
        <f t="shared" si="36"/>
        <v>4068.2620949999996</v>
      </c>
      <c r="F75" s="80">
        <f t="shared" si="36"/>
        <v>0</v>
      </c>
      <c r="G75" s="80">
        <f t="shared" si="36"/>
        <v>0</v>
      </c>
      <c r="H75" s="80">
        <f t="shared" si="36"/>
        <v>0</v>
      </c>
      <c r="I75" s="80">
        <f t="shared" si="36"/>
        <v>0</v>
      </c>
      <c r="J75" s="80">
        <f t="shared" si="36"/>
        <v>0</v>
      </c>
      <c r="K75" s="80">
        <f t="shared" si="36"/>
        <v>9889.6825949999984</v>
      </c>
      <c r="L75" s="80">
        <f t="shared" si="36"/>
        <v>22063.975725</v>
      </c>
      <c r="M75" s="80">
        <f t="shared" si="36"/>
        <v>29997.740234999997</v>
      </c>
      <c r="N75" s="81">
        <f t="shared" si="33"/>
        <v>148410.5814</v>
      </c>
      <c r="O75" s="87">
        <f t="shared" si="34"/>
        <v>0</v>
      </c>
      <c r="P75" s="85">
        <f t="shared" si="35"/>
        <v>148410.5814</v>
      </c>
    </row>
    <row r="76" spans="1:16" x14ac:dyDescent="0.25">
      <c r="A76" s="48">
        <v>2034</v>
      </c>
      <c r="B76" s="80">
        <f t="shared" si="31"/>
        <v>30318.9084</v>
      </c>
      <c r="C76" s="80">
        <f t="shared" si="36"/>
        <v>28894.442444999993</v>
      </c>
      <c r="D76" s="80">
        <f t="shared" si="36"/>
        <v>23177.569905</v>
      </c>
      <c r="E76" s="80">
        <f t="shared" si="36"/>
        <v>4068.2620949999996</v>
      </c>
      <c r="F76" s="80">
        <f t="shared" si="36"/>
        <v>0</v>
      </c>
      <c r="G76" s="80">
        <f t="shared" si="36"/>
        <v>0</v>
      </c>
      <c r="H76" s="80">
        <f t="shared" si="36"/>
        <v>0</v>
      </c>
      <c r="I76" s="80">
        <f t="shared" si="36"/>
        <v>0</v>
      </c>
      <c r="J76" s="80">
        <f t="shared" si="36"/>
        <v>0</v>
      </c>
      <c r="K76" s="80">
        <f t="shared" si="36"/>
        <v>9889.6825949999984</v>
      </c>
      <c r="L76" s="80">
        <f t="shared" si="36"/>
        <v>22063.975725</v>
      </c>
      <c r="M76" s="80">
        <f t="shared" si="36"/>
        <v>29997.740234999997</v>
      </c>
      <c r="N76" s="81">
        <f t="shared" si="33"/>
        <v>148410.5814</v>
      </c>
      <c r="O76" s="87">
        <f t="shared" si="34"/>
        <v>0</v>
      </c>
      <c r="P76" s="85">
        <f t="shared" si="35"/>
        <v>148410.5814</v>
      </c>
    </row>
    <row r="77" spans="1:16" x14ac:dyDescent="0.25">
      <c r="A77" s="48">
        <v>2035</v>
      </c>
      <c r="B77" s="80">
        <f t="shared" si="31"/>
        <v>30318.9084</v>
      </c>
      <c r="C77" s="80">
        <f t="shared" si="36"/>
        <v>28894.442444999993</v>
      </c>
      <c r="D77" s="80">
        <f t="shared" si="36"/>
        <v>23177.569905</v>
      </c>
      <c r="E77" s="80">
        <f t="shared" si="36"/>
        <v>4068.2620949999996</v>
      </c>
      <c r="F77" s="80">
        <f t="shared" si="36"/>
        <v>0</v>
      </c>
      <c r="G77" s="80">
        <f t="shared" si="36"/>
        <v>0</v>
      </c>
      <c r="H77" s="80">
        <f t="shared" si="36"/>
        <v>0</v>
      </c>
      <c r="I77" s="80">
        <f t="shared" si="36"/>
        <v>0</v>
      </c>
      <c r="J77" s="80">
        <f t="shared" si="36"/>
        <v>0</v>
      </c>
      <c r="K77" s="80">
        <f t="shared" si="36"/>
        <v>9889.6825949999984</v>
      </c>
      <c r="L77" s="80">
        <f t="shared" si="36"/>
        <v>22063.975725</v>
      </c>
      <c r="M77" s="80">
        <f t="shared" si="36"/>
        <v>29997.740234999997</v>
      </c>
      <c r="N77" s="81">
        <f t="shared" si="33"/>
        <v>148410.5814</v>
      </c>
      <c r="O77" s="87">
        <f t="shared" si="34"/>
        <v>0</v>
      </c>
      <c r="P77" s="85">
        <f t="shared" si="35"/>
        <v>148410.5814</v>
      </c>
    </row>
    <row r="78" spans="1:16" s="66" customFormat="1" x14ac:dyDescent="0.25">
      <c r="A78" s="48">
        <v>2036</v>
      </c>
      <c r="B78" s="80">
        <f t="shared" si="31"/>
        <v>30318.9084</v>
      </c>
      <c r="C78" s="80">
        <f t="shared" si="36"/>
        <v>28894.442444999993</v>
      </c>
      <c r="D78" s="80">
        <f t="shared" si="36"/>
        <v>23177.569905</v>
      </c>
      <c r="E78" s="80">
        <f t="shared" si="36"/>
        <v>4068.2620949999996</v>
      </c>
      <c r="F78" s="80">
        <f t="shared" si="36"/>
        <v>0</v>
      </c>
      <c r="G78" s="80">
        <f t="shared" si="36"/>
        <v>0</v>
      </c>
      <c r="H78" s="80">
        <f t="shared" si="36"/>
        <v>0</v>
      </c>
      <c r="I78" s="80">
        <f t="shared" si="36"/>
        <v>0</v>
      </c>
      <c r="J78" s="80">
        <f t="shared" si="36"/>
        <v>0</v>
      </c>
      <c r="K78" s="80">
        <f t="shared" si="36"/>
        <v>9889.6825949999984</v>
      </c>
      <c r="L78" s="80">
        <f t="shared" si="36"/>
        <v>22063.975725</v>
      </c>
      <c r="M78" s="80">
        <f t="shared" si="36"/>
        <v>29997.740234999997</v>
      </c>
      <c r="N78" s="81">
        <f t="shared" si="33"/>
        <v>148410.5814</v>
      </c>
      <c r="O78" s="87">
        <f t="shared" si="34"/>
        <v>0</v>
      </c>
      <c r="P78" s="85">
        <f t="shared" si="35"/>
        <v>148410.5814</v>
      </c>
    </row>
    <row r="79" spans="1:16" s="66" customFormat="1" x14ac:dyDescent="0.25">
      <c r="A79" s="48">
        <v>2037</v>
      </c>
      <c r="B79" s="80">
        <f t="shared" si="31"/>
        <v>30318.9084</v>
      </c>
      <c r="C79" s="80">
        <f t="shared" si="36"/>
        <v>28894.442444999993</v>
      </c>
      <c r="D79" s="80">
        <f t="shared" si="36"/>
        <v>23177.569905</v>
      </c>
      <c r="E79" s="80">
        <f t="shared" si="36"/>
        <v>4068.2620949999996</v>
      </c>
      <c r="F79" s="80">
        <f t="shared" si="36"/>
        <v>0</v>
      </c>
      <c r="G79" s="80">
        <f t="shared" si="36"/>
        <v>0</v>
      </c>
      <c r="H79" s="80">
        <f t="shared" si="36"/>
        <v>0</v>
      </c>
      <c r="I79" s="80">
        <f t="shared" si="36"/>
        <v>0</v>
      </c>
      <c r="J79" s="80">
        <f t="shared" si="36"/>
        <v>0</v>
      </c>
      <c r="K79" s="80">
        <f t="shared" si="36"/>
        <v>9889.6825949999984</v>
      </c>
      <c r="L79" s="80">
        <f t="shared" si="36"/>
        <v>22063.975725</v>
      </c>
      <c r="M79" s="80">
        <f t="shared" si="36"/>
        <v>29997.740234999997</v>
      </c>
      <c r="N79" s="81">
        <f t="shared" si="33"/>
        <v>148410.5814</v>
      </c>
      <c r="O79" s="87">
        <f t="shared" si="34"/>
        <v>0</v>
      </c>
      <c r="P79" s="85">
        <f t="shared" si="35"/>
        <v>148410.5814</v>
      </c>
    </row>
    <row r="80" spans="1:16" ht="18" customHeight="1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195" t="s">
        <v>51</v>
      </c>
      <c r="M80" s="195"/>
      <c r="N80" s="86">
        <f>SUM(N59:N79)</f>
        <v>2908998.2771550003</v>
      </c>
      <c r="O80" s="86">
        <f>SUM(O59:O79)</f>
        <v>0</v>
      </c>
      <c r="P80" s="86">
        <f>SUM(P59:P79)</f>
        <v>2908998.2771550003</v>
      </c>
    </row>
  </sheetData>
  <mergeCells count="27">
    <mergeCell ref="R24:R26"/>
    <mergeCell ref="Q6:R6"/>
    <mergeCell ref="D57:D58"/>
    <mergeCell ref="C57:C58"/>
    <mergeCell ref="P57:P58"/>
    <mergeCell ref="I57:I58"/>
    <mergeCell ref="H57:H58"/>
    <mergeCell ref="G57:G58"/>
    <mergeCell ref="F57:F58"/>
    <mergeCell ref="L55:M55"/>
    <mergeCell ref="A56:N56"/>
    <mergeCell ref="K57:K58"/>
    <mergeCell ref="J57:J58"/>
    <mergeCell ref="B57:B58"/>
    <mergeCell ref="A57:A58"/>
    <mergeCell ref="E57:E58"/>
    <mergeCell ref="L80:M80"/>
    <mergeCell ref="O57:O58"/>
    <mergeCell ref="N57:N58"/>
    <mergeCell ref="M57:M58"/>
    <mergeCell ref="L57:L58"/>
    <mergeCell ref="Q8:Q9"/>
    <mergeCell ref="A1:A2"/>
    <mergeCell ref="A4:N5"/>
    <mergeCell ref="A30:N31"/>
    <mergeCell ref="K29:M29"/>
    <mergeCell ref="Q24:Q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W1001"/>
  <sheetViews>
    <sheetView zoomScale="75" workbookViewId="0">
      <selection activeCell="I28" sqref="I28"/>
    </sheetView>
  </sheetViews>
  <sheetFormatPr defaultColWidth="14.42578125" defaultRowHeight="15" customHeight="1" x14ac:dyDescent="0.25"/>
  <cols>
    <col min="1" max="1" width="37.28515625" customWidth="1"/>
    <col min="2" max="2" width="11.140625" customWidth="1"/>
    <col min="3" max="22" width="11" bestFit="1" customWidth="1"/>
    <col min="23" max="23" width="48.28515625" customWidth="1"/>
    <col min="24" max="26" width="8.7109375" customWidth="1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3" t="s">
        <v>0</v>
      </c>
      <c r="B2" s="201">
        <f>startDate</f>
        <v>43061</v>
      </c>
      <c r="C2" s="202"/>
      <c r="D2" s="1"/>
      <c r="E2" s="1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/>
      <c r="B3" s="1"/>
      <c r="C3" s="1"/>
      <c r="D3" s="1"/>
      <c r="E3" s="1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3" t="s">
        <v>2</v>
      </c>
      <c r="B4" s="3">
        <v>1</v>
      </c>
      <c r="C4" s="3">
        <f t="shared" ref="C4:V4" si="0">B4+1</f>
        <v>2</v>
      </c>
      <c r="D4" s="3">
        <f t="shared" si="0"/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si="0"/>
        <v>19</v>
      </c>
      <c r="U4" s="3">
        <f t="shared" si="0"/>
        <v>20</v>
      </c>
      <c r="V4" s="3">
        <f t="shared" si="0"/>
        <v>21</v>
      </c>
      <c r="W4" s="1"/>
    </row>
    <row r="5" spans="1:23" x14ac:dyDescent="0.25">
      <c r="A5" s="7" t="s">
        <v>3</v>
      </c>
      <c r="B5" s="3">
        <f t="shared" ref="B5:V5" si="1">YEAR(startDate)-1+B4</f>
        <v>2017</v>
      </c>
      <c r="C5" s="3">
        <f t="shared" si="1"/>
        <v>2018</v>
      </c>
      <c r="D5" s="3">
        <f t="shared" si="1"/>
        <v>2019</v>
      </c>
      <c r="E5" s="3">
        <f t="shared" si="1"/>
        <v>2020</v>
      </c>
      <c r="F5" s="3">
        <f t="shared" si="1"/>
        <v>2021</v>
      </c>
      <c r="G5" s="3">
        <f t="shared" si="1"/>
        <v>2022</v>
      </c>
      <c r="H5" s="3">
        <f t="shared" si="1"/>
        <v>2023</v>
      </c>
      <c r="I5" s="3">
        <f t="shared" si="1"/>
        <v>2024</v>
      </c>
      <c r="J5" s="3">
        <f t="shared" si="1"/>
        <v>2025</v>
      </c>
      <c r="K5" s="3">
        <f t="shared" si="1"/>
        <v>2026</v>
      </c>
      <c r="L5" s="3">
        <f t="shared" si="1"/>
        <v>2027</v>
      </c>
      <c r="M5" s="3">
        <f t="shared" si="1"/>
        <v>2028</v>
      </c>
      <c r="N5" s="3">
        <f t="shared" si="1"/>
        <v>2029</v>
      </c>
      <c r="O5" s="3">
        <f t="shared" si="1"/>
        <v>2030</v>
      </c>
      <c r="P5" s="3">
        <f t="shared" si="1"/>
        <v>2031</v>
      </c>
      <c r="Q5" s="3">
        <f t="shared" si="1"/>
        <v>2032</v>
      </c>
      <c r="R5" s="3">
        <f t="shared" si="1"/>
        <v>2033</v>
      </c>
      <c r="S5" s="3">
        <f t="shared" si="1"/>
        <v>2034</v>
      </c>
      <c r="T5" s="3">
        <f t="shared" si="1"/>
        <v>2035</v>
      </c>
      <c r="U5" s="3">
        <f t="shared" si="1"/>
        <v>2036</v>
      </c>
      <c r="V5" s="3">
        <f t="shared" si="1"/>
        <v>2037</v>
      </c>
      <c r="W5" s="1"/>
    </row>
    <row r="6" spans="1:23" x14ac:dyDescent="0.25">
      <c r="A6" s="9" t="s">
        <v>4</v>
      </c>
      <c r="B6" s="10">
        <v>365</v>
      </c>
      <c r="C6" s="9">
        <v>365</v>
      </c>
      <c r="D6" s="9">
        <v>365</v>
      </c>
      <c r="E6" s="9">
        <v>365</v>
      </c>
      <c r="F6" s="9">
        <v>365</v>
      </c>
      <c r="G6" s="9">
        <v>365</v>
      </c>
      <c r="H6" s="9">
        <v>365</v>
      </c>
      <c r="I6" s="9">
        <v>365</v>
      </c>
      <c r="J6" s="9">
        <v>365</v>
      </c>
      <c r="K6" s="9">
        <v>365</v>
      </c>
      <c r="L6" s="9">
        <v>365</v>
      </c>
      <c r="M6" s="9">
        <v>365</v>
      </c>
      <c r="N6" s="9">
        <v>365</v>
      </c>
      <c r="O6" s="9">
        <v>365</v>
      </c>
      <c r="P6" s="9">
        <v>365</v>
      </c>
      <c r="Q6" s="9">
        <v>365</v>
      </c>
      <c r="R6" s="9">
        <v>365</v>
      </c>
      <c r="S6" s="9">
        <v>365</v>
      </c>
      <c r="T6" s="9">
        <v>365</v>
      </c>
      <c r="U6" s="9">
        <v>365</v>
      </c>
      <c r="V6" s="9">
        <v>365</v>
      </c>
      <c r="W6" s="1"/>
    </row>
    <row r="7" spans="1:23" ht="45" x14ac:dyDescent="0.25">
      <c r="A7" s="9" t="s">
        <v>6</v>
      </c>
      <c r="B7" s="11">
        <f>MROUND(YEARFRAC("31.12.2017",B2)*365,1)</f>
        <v>40</v>
      </c>
      <c r="C7" s="9">
        <f t="shared" ref="C7:V7" si="2">C6</f>
        <v>365</v>
      </c>
      <c r="D7" s="9">
        <f t="shared" si="2"/>
        <v>365</v>
      </c>
      <c r="E7" s="9">
        <f t="shared" si="2"/>
        <v>365</v>
      </c>
      <c r="F7" s="9">
        <f t="shared" si="2"/>
        <v>365</v>
      </c>
      <c r="G7" s="9">
        <f t="shared" si="2"/>
        <v>365</v>
      </c>
      <c r="H7" s="9">
        <f t="shared" si="2"/>
        <v>365</v>
      </c>
      <c r="I7" s="9">
        <f t="shared" si="2"/>
        <v>365</v>
      </c>
      <c r="J7" s="9">
        <f t="shared" si="2"/>
        <v>365</v>
      </c>
      <c r="K7" s="9">
        <f t="shared" si="2"/>
        <v>365</v>
      </c>
      <c r="L7" s="9">
        <f t="shared" si="2"/>
        <v>365</v>
      </c>
      <c r="M7" s="9">
        <f t="shared" si="2"/>
        <v>365</v>
      </c>
      <c r="N7" s="9">
        <f t="shared" si="2"/>
        <v>365</v>
      </c>
      <c r="O7" s="9">
        <f t="shared" si="2"/>
        <v>365</v>
      </c>
      <c r="P7" s="9">
        <f t="shared" si="2"/>
        <v>365</v>
      </c>
      <c r="Q7" s="9">
        <f t="shared" si="2"/>
        <v>365</v>
      </c>
      <c r="R7" s="9">
        <f t="shared" si="2"/>
        <v>365</v>
      </c>
      <c r="S7" s="9">
        <f t="shared" si="2"/>
        <v>365</v>
      </c>
      <c r="T7" s="9">
        <f t="shared" si="2"/>
        <v>365</v>
      </c>
      <c r="U7" s="9">
        <f t="shared" si="2"/>
        <v>365</v>
      </c>
      <c r="V7" s="9">
        <f t="shared" si="2"/>
        <v>365</v>
      </c>
      <c r="W7" s="1"/>
    </row>
    <row r="8" spans="1:23" x14ac:dyDescent="0.25">
      <c r="A8" s="3" t="s">
        <v>61</v>
      </c>
      <c r="B8" s="12">
        <f>VLOOKUP(B$5,'Скорочення споживання ПЕР'!$A$59:$P$79,16,0)</f>
        <v>0</v>
      </c>
      <c r="C8" s="13">
        <f>VLOOKUP(C$5,'Скорочення споживання ПЕР'!$A$59:$P$79,16,0)</f>
        <v>89197.230554999987</v>
      </c>
      <c r="D8" s="13">
        <f>VLOOKUP(D$5,'Скорочення споживання ПЕР'!$A$59:$P$79,16,0)</f>
        <v>148410.5814</v>
      </c>
      <c r="E8" s="13">
        <f>VLOOKUP(E$5,'Скорочення споживання ПЕР'!$A$59:$P$79,16,0)</f>
        <v>148410.5814</v>
      </c>
      <c r="F8" s="13">
        <f>VLOOKUP(F$5,'Скорочення споживання ПЕР'!$A$59:$P$79,16,0)</f>
        <v>148410.5814</v>
      </c>
      <c r="G8" s="13">
        <f>VLOOKUP(G$5,'Скорочення споживання ПЕР'!$A$59:$P$79,16,0)</f>
        <v>148410.5814</v>
      </c>
      <c r="H8" s="13">
        <f>VLOOKUP(H$5,'Скорочення споживання ПЕР'!$A$59:$P$79,16,0)</f>
        <v>148410.5814</v>
      </c>
      <c r="I8" s="13">
        <f>VLOOKUP(I$5,'Скорочення споживання ПЕР'!$A$59:$P$79,16,0)</f>
        <v>148410.5814</v>
      </c>
      <c r="J8" s="13">
        <f>VLOOKUP(J$5,'Скорочення споживання ПЕР'!$A$59:$P$79,16,0)</f>
        <v>148410.5814</v>
      </c>
      <c r="K8" s="13">
        <f>VLOOKUP(K$5,'Скорочення споживання ПЕР'!$A$59:$P$79,16,0)</f>
        <v>148410.5814</v>
      </c>
      <c r="L8" s="13">
        <f>VLOOKUP(L$5,'Скорочення споживання ПЕР'!$A$59:$P$79,16,0)</f>
        <v>148410.5814</v>
      </c>
      <c r="M8" s="13">
        <f>VLOOKUP(M$5,'Скорочення споживання ПЕР'!$A$59:$P$79,16,0)</f>
        <v>148410.5814</v>
      </c>
      <c r="N8" s="13">
        <f>VLOOKUP(N$5,'Скорочення споживання ПЕР'!$A$59:$P$79,16,0)</f>
        <v>148410.5814</v>
      </c>
      <c r="O8" s="13">
        <f>VLOOKUP(O$5,'Скорочення споживання ПЕР'!$A$59:$P$79,16,0)</f>
        <v>148410.5814</v>
      </c>
      <c r="P8" s="13">
        <f>VLOOKUP(P$5,'Скорочення споживання ПЕР'!$A$59:$P$79,16,0)</f>
        <v>148410.5814</v>
      </c>
      <c r="Q8" s="13">
        <f>VLOOKUP(Q$5,'Скорочення споживання ПЕР'!$A$59:$P$79,16,0)</f>
        <v>148410.5814</v>
      </c>
      <c r="R8" s="13">
        <f>VLOOKUP(R$5,'Скорочення споживання ПЕР'!$A$59:$P$79,16,0)</f>
        <v>148410.5814</v>
      </c>
      <c r="S8" s="13">
        <f>VLOOKUP(S$5,'Скорочення споживання ПЕР'!$A$59:$P$79,16,0)</f>
        <v>148410.5814</v>
      </c>
      <c r="T8" s="13">
        <f>VLOOKUP(T$5,'Скорочення споживання ПЕР'!$A$59:$P$79,16,0)</f>
        <v>148410.5814</v>
      </c>
      <c r="U8" s="13">
        <f>VLOOKUP(U$5,'Скорочення споживання ПЕР'!$A$59:$P$79,16,0)</f>
        <v>148410.5814</v>
      </c>
      <c r="V8" s="13">
        <f>VLOOKUP(V$5,'Скорочення споживання ПЕР'!$A$59:$P$79,16,0)</f>
        <v>148410.5814</v>
      </c>
    </row>
    <row r="9" spans="1:23" x14ac:dyDescent="0.25">
      <c r="A9" s="14"/>
      <c r="B9" s="14"/>
      <c r="C9" s="14"/>
      <c r="D9" s="1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1" spans="1:23" ht="30" x14ac:dyDescent="0.25">
      <c r="A11" s="9" t="s">
        <v>9</v>
      </c>
      <c r="B11" s="15">
        <f t="shared" ref="B11:U11" si="3">B7</f>
        <v>40</v>
      </c>
      <c r="C11" s="7">
        <f t="shared" si="3"/>
        <v>365</v>
      </c>
      <c r="D11" s="7">
        <f t="shared" si="3"/>
        <v>365</v>
      </c>
      <c r="E11" s="7">
        <f t="shared" si="3"/>
        <v>365</v>
      </c>
      <c r="F11" s="7">
        <f t="shared" si="3"/>
        <v>365</v>
      </c>
      <c r="G11" s="7">
        <f t="shared" si="3"/>
        <v>365</v>
      </c>
      <c r="H11" s="7">
        <f t="shared" si="3"/>
        <v>365</v>
      </c>
      <c r="I11" s="7">
        <f t="shared" si="3"/>
        <v>365</v>
      </c>
      <c r="J11" s="7">
        <f t="shared" si="3"/>
        <v>365</v>
      </c>
      <c r="K11" s="7">
        <f t="shared" si="3"/>
        <v>365</v>
      </c>
      <c r="L11" s="7">
        <f t="shared" si="3"/>
        <v>365</v>
      </c>
      <c r="M11" s="7">
        <f t="shared" si="3"/>
        <v>365</v>
      </c>
      <c r="N11" s="7">
        <f t="shared" si="3"/>
        <v>365</v>
      </c>
      <c r="O11" s="7">
        <f t="shared" si="3"/>
        <v>365</v>
      </c>
      <c r="P11" s="7">
        <f t="shared" si="3"/>
        <v>365</v>
      </c>
      <c r="Q11" s="7">
        <f t="shared" si="3"/>
        <v>365</v>
      </c>
      <c r="R11" s="7">
        <f t="shared" si="3"/>
        <v>365</v>
      </c>
      <c r="S11" s="7">
        <f t="shared" si="3"/>
        <v>365</v>
      </c>
      <c r="T11" s="7">
        <f t="shared" si="3"/>
        <v>365</v>
      </c>
      <c r="U11" s="7">
        <f t="shared" si="3"/>
        <v>365</v>
      </c>
      <c r="V11" s="16">
        <f>365-B11</f>
        <v>325</v>
      </c>
      <c r="W11" s="1"/>
    </row>
    <row r="12" spans="1:23" ht="30" x14ac:dyDescent="0.25">
      <c r="A12" s="9" t="s">
        <v>11</v>
      </c>
      <c r="B12" s="17">
        <f t="shared" ref="B12:V12" si="4">NBUdiscountRate*B11/B6</f>
        <v>1.4794520547945207E-2</v>
      </c>
      <c r="C12" s="17">
        <f t="shared" si="4"/>
        <v>0.13500000000000001</v>
      </c>
      <c r="D12" s="17">
        <f t="shared" si="4"/>
        <v>0.13500000000000001</v>
      </c>
      <c r="E12" s="17">
        <f t="shared" si="4"/>
        <v>0.13500000000000001</v>
      </c>
      <c r="F12" s="17">
        <f t="shared" si="4"/>
        <v>0.13500000000000001</v>
      </c>
      <c r="G12" s="17">
        <f t="shared" si="4"/>
        <v>0.13500000000000001</v>
      </c>
      <c r="H12" s="17">
        <f t="shared" si="4"/>
        <v>0.13500000000000001</v>
      </c>
      <c r="I12" s="17">
        <f t="shared" si="4"/>
        <v>0.13500000000000001</v>
      </c>
      <c r="J12" s="17">
        <f t="shared" si="4"/>
        <v>0.13500000000000001</v>
      </c>
      <c r="K12" s="17">
        <f t="shared" si="4"/>
        <v>0.13500000000000001</v>
      </c>
      <c r="L12" s="17">
        <f t="shared" si="4"/>
        <v>0.13500000000000001</v>
      </c>
      <c r="M12" s="17">
        <f t="shared" si="4"/>
        <v>0.13500000000000001</v>
      </c>
      <c r="N12" s="17">
        <f t="shared" si="4"/>
        <v>0.13500000000000001</v>
      </c>
      <c r="O12" s="17">
        <f t="shared" si="4"/>
        <v>0.13500000000000001</v>
      </c>
      <c r="P12" s="17">
        <f t="shared" si="4"/>
        <v>0.13500000000000001</v>
      </c>
      <c r="Q12" s="17">
        <f t="shared" si="4"/>
        <v>0.13500000000000001</v>
      </c>
      <c r="R12" s="17">
        <f t="shared" si="4"/>
        <v>0.13500000000000001</v>
      </c>
      <c r="S12" s="17">
        <f t="shared" si="4"/>
        <v>0.13500000000000001</v>
      </c>
      <c r="T12" s="17">
        <f t="shared" si="4"/>
        <v>0.13500000000000001</v>
      </c>
      <c r="U12" s="17">
        <f t="shared" si="4"/>
        <v>0.13500000000000001</v>
      </c>
      <c r="V12" s="17">
        <f t="shared" si="4"/>
        <v>0.1202054794520548</v>
      </c>
      <c r="W12" s="1"/>
    </row>
    <row r="13" spans="1:23" x14ac:dyDescent="0.25">
      <c r="A13" s="9" t="s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1"/>
    </row>
    <row r="14" spans="1:23" x14ac:dyDescent="0.25">
      <c r="A14" s="9">
        <v>1</v>
      </c>
      <c r="B14" s="18">
        <f t="shared" ref="B14:V14" si="5">A14/(1+B12)</f>
        <v>0.98542116630669552</v>
      </c>
      <c r="C14" s="18">
        <f t="shared" si="5"/>
        <v>0.86821248132748507</v>
      </c>
      <c r="D14" s="18">
        <f t="shared" si="5"/>
        <v>0.76494491746914983</v>
      </c>
      <c r="E14" s="18">
        <f t="shared" si="5"/>
        <v>0.67396027970850203</v>
      </c>
      <c r="F14" s="18">
        <f t="shared" si="5"/>
        <v>0.59379760326740272</v>
      </c>
      <c r="G14" s="18">
        <f t="shared" si="5"/>
        <v>0.52316969450872486</v>
      </c>
      <c r="H14" s="18">
        <f t="shared" si="5"/>
        <v>0.46094246212222456</v>
      </c>
      <c r="I14" s="18">
        <f t="shared" si="5"/>
        <v>0.40611670671561634</v>
      </c>
      <c r="J14" s="18">
        <f t="shared" si="5"/>
        <v>0.3578120764014241</v>
      </c>
      <c r="K14" s="18">
        <f t="shared" si="5"/>
        <v>0.31525293075015337</v>
      </c>
      <c r="L14" s="18">
        <f t="shared" si="5"/>
        <v>0.27775588612348312</v>
      </c>
      <c r="M14" s="18">
        <f t="shared" si="5"/>
        <v>0.24471884239954458</v>
      </c>
      <c r="N14" s="18">
        <f t="shared" si="5"/>
        <v>0.21561131488946658</v>
      </c>
      <c r="O14" s="18">
        <f t="shared" si="5"/>
        <v>0.18996591620217321</v>
      </c>
      <c r="P14" s="18">
        <f t="shared" si="5"/>
        <v>0.16737085127944776</v>
      </c>
      <c r="Q14" s="18">
        <f t="shared" si="5"/>
        <v>0.14746330509202446</v>
      </c>
      <c r="R14" s="18">
        <f t="shared" si="5"/>
        <v>0.12992361682116693</v>
      </c>
      <c r="S14" s="18">
        <f t="shared" si="5"/>
        <v>0.11447014697900171</v>
      </c>
      <c r="T14" s="18">
        <f t="shared" si="5"/>
        <v>0.1008547550475786</v>
      </c>
      <c r="U14" s="18">
        <f t="shared" si="5"/>
        <v>8.8858815019893039E-2</v>
      </c>
      <c r="V14" s="18">
        <f t="shared" si="5"/>
        <v>7.9323674673826866E-2</v>
      </c>
      <c r="W14" s="1"/>
    </row>
    <row r="16" spans="1:23" ht="30.75" x14ac:dyDescent="0.3">
      <c r="A16" s="9" t="s">
        <v>12</v>
      </c>
      <c r="B16" s="16">
        <f>IF('Оголошення закупівлі'!B21&lt;B11,'Оголошення закупівлі'!B21,B11)</f>
        <v>40</v>
      </c>
      <c r="C16" s="16">
        <f>IF('Оголошення закупівлі'!$B21-SUM($B16:B16)&gt;365,365,IF('Оголошення закупівлі'!$B$21-SUM($B16:B16)&gt;0,'Оголошення закупівлі'!$B$21-SUM($B16:B16),0))</f>
        <v>365</v>
      </c>
      <c r="D16" s="16">
        <f>IF('Оголошення закупівлі'!$B21-SUM($B16:C16)&gt;365,365,IF('Оголошення закупівлі'!$B$21-SUM($B16:C16)&gt;0,'Оголошення закупівлі'!$B$21-SUM($B16:C16),0))</f>
        <v>365</v>
      </c>
      <c r="E16" s="16">
        <f>IF('Оголошення закупівлі'!$B21-SUM($B16:D16)&gt;365,365,IF('Оголошення закупівлі'!$B$21-SUM($B16:D16)&gt;0,'Оголошення закупівлі'!$B$21-SUM($B16:D16),0))</f>
        <v>365</v>
      </c>
      <c r="F16" s="16">
        <f>IF('Оголошення закупівлі'!$B21-SUM($B16:E16)&gt;365,365,IF('Оголошення закупівлі'!$B$21-SUM($B16:E16)&gt;0,'Оголошення закупівлі'!$B$21-SUM($B16:E16),0))</f>
        <v>365</v>
      </c>
      <c r="G16" s="16">
        <f>IF('Оголошення закупівлі'!$B21-SUM($B16:F16)&gt;365,365,IF('Оголошення закупівлі'!$B$21-SUM($B16:F16)&gt;0,'Оголошення закупівлі'!$B$21-SUM($B16:F16),0))</f>
        <v>365</v>
      </c>
      <c r="H16" s="16">
        <f>IF('Оголошення закупівлі'!$B21-SUM($B16:G16)&gt;365,365,IF('Оголошення закупівлі'!$B$21-SUM($B16:G16)&gt;0,'Оголошення закупівлі'!$B$21-SUM($B16:G16),0))</f>
        <v>325</v>
      </c>
      <c r="I16" s="16">
        <f>IF('Оголошення закупівлі'!$B21-SUM($B16:H16)&gt;365,365,IF('Оголошення закупівлі'!$B$21-SUM($B16:H16)&gt;0,'Оголошення закупівлі'!$B$21-SUM($B16:H16),0))</f>
        <v>0</v>
      </c>
      <c r="J16" s="16">
        <f>IF('Оголошення закупівлі'!$B21-SUM($B16:I16)&gt;365,365,IF('Оголошення закупівлі'!$B$21-SUM($B16:I16)&gt;0,'Оголошення закупівлі'!$B$21-SUM($B16:I16),0))</f>
        <v>0</v>
      </c>
      <c r="K16" s="16">
        <f>IF('Оголошення закупівлі'!$B21-SUM($B16:J16)&gt;365,365,IF('Оголошення закупівлі'!$B$21-SUM($B16:J16)&gt;0,'Оголошення закупівлі'!$B$21-SUM($B16:J16),0))</f>
        <v>0</v>
      </c>
      <c r="L16" s="16">
        <f>IF('Оголошення закупівлі'!$B21-SUM($B16:K16)&gt;365,365,IF('Оголошення закупівлі'!$B$21-SUM($B16:K16)&gt;0,'Оголошення закупівлі'!$B$21-SUM($B16:K16),0))</f>
        <v>0</v>
      </c>
      <c r="M16" s="16">
        <f>IF('Оголошення закупівлі'!$B21-SUM($B16:L16)&gt;365,365,IF('Оголошення закупівлі'!$B$21-SUM($B16:L16)&gt;0,'Оголошення закупівлі'!$B$21-SUM($B16:L16),0))</f>
        <v>0</v>
      </c>
      <c r="N16" s="16">
        <f>IF('Оголошення закупівлі'!$B21-SUM($B16:M16)&gt;365,365,IF('Оголошення закупівлі'!$B$21-SUM($B16:M16)&gt;0,'Оголошення закупівлі'!$B$21-SUM($B16:M16),0))</f>
        <v>0</v>
      </c>
      <c r="O16" s="16">
        <f>IF('Оголошення закупівлі'!$B21-SUM($B16:N16)&gt;365,365,IF('Оголошення закупівлі'!$B$21-SUM($B16:N16)&gt;0,'Оголошення закупівлі'!$B$21-SUM($B16:N16),0))</f>
        <v>0</v>
      </c>
      <c r="P16" s="16">
        <f>IF('Оголошення закупівлі'!$B21-SUM($B16:O16)&gt;365,365,IF('Оголошення закупівлі'!$B$21-SUM($B16:O16)&gt;0,'Оголошення закупівлі'!$B$21-SUM($B16:O16),0))</f>
        <v>0</v>
      </c>
      <c r="Q16" s="16">
        <f>IF('Оголошення закупівлі'!$B21-SUM($B16:P16)&gt;365,365,IF('Оголошення закупівлі'!$B$21-SUM($B16:P16)&gt;0,'Оголошення закупівлі'!$B$21-SUM($B16:P16),0))</f>
        <v>0</v>
      </c>
      <c r="R16" s="3">
        <f>IF('Оголошення закупівлі'!$B21-SUM($B16:Q16)&gt;365,365,IF('Оголошення закупівлі'!$B$21-SUM($B16:Q16)&gt;0,'Оголошення закупівлі'!$B$21-SUM($B16:Q16),0))</f>
        <v>0</v>
      </c>
      <c r="S16" s="3">
        <f>IF('Оголошення закупівлі'!$B21-SUM($B16:R16)&gt;365,365,IF('Оголошення закупівлі'!$B$21-SUM($B16:R16)&gt;0,'Оголошення закупівлі'!$B$21-SUM($B16:R16),0))</f>
        <v>0</v>
      </c>
      <c r="T16" s="3">
        <f>IF('Оголошення закупівлі'!$B21-SUM($B16:S16)&gt;365,365,IF('Оголошення закупівлі'!$B$21-SUM($B16:S16)&gt;0,'Оголошення закупівлі'!$B$21-SUM($B16:S16),0))</f>
        <v>0</v>
      </c>
      <c r="U16" s="3">
        <f>IF('Оголошення закупівлі'!$B21-SUM($B16:T16)&gt;365,365,IF('Оголошення закупівлі'!$B$21-SUM($B16:T16)&gt;0,'Оголошення закупівлі'!$B$21-SUM($B16:T16),0))</f>
        <v>0</v>
      </c>
      <c r="V16" s="3">
        <f>IF('Оголошення закупівлі'!$B21-SUM($B16:U16)&gt;365,365,IF('Оголошення закупівлі'!$B$21-SUM($B16:U16)&gt;0,'Оголошення закупівлі'!$B$21-SUM($B16:U16),0))</f>
        <v>0</v>
      </c>
      <c r="W16" s="19" t="s">
        <v>13</v>
      </c>
    </row>
    <row r="17" spans="1:23" ht="31.5" x14ac:dyDescent="0.5">
      <c r="A17" s="3" t="s">
        <v>63</v>
      </c>
      <c r="B17" s="20">
        <f>IF(B16&gt;0,yearlyPaymentsPercentage*B8*B16/B11,0)</f>
        <v>0</v>
      </c>
      <c r="C17" s="21">
        <f t="shared" ref="C17:Q17" si="6">IF(C16&gt;0,yearlyPaymentsPercentage*C8*C16/365,0)</f>
        <v>81169.479805049996</v>
      </c>
      <c r="D17" s="21">
        <f t="shared" si="6"/>
        <v>135053.629074</v>
      </c>
      <c r="E17" s="21">
        <f t="shared" si="6"/>
        <v>135053.629074</v>
      </c>
      <c r="F17" s="21">
        <f t="shared" si="6"/>
        <v>135053.629074</v>
      </c>
      <c r="G17" s="21">
        <f t="shared" si="6"/>
        <v>135053.629074</v>
      </c>
      <c r="H17" s="21">
        <f t="shared" si="6"/>
        <v>120253.23136726028</v>
      </c>
      <c r="I17" s="21">
        <f t="shared" si="6"/>
        <v>0</v>
      </c>
      <c r="J17" s="21">
        <f t="shared" si="6"/>
        <v>0</v>
      </c>
      <c r="K17" s="21">
        <f t="shared" si="6"/>
        <v>0</v>
      </c>
      <c r="L17" s="21">
        <f t="shared" si="6"/>
        <v>0</v>
      </c>
      <c r="M17" s="21">
        <f t="shared" si="6"/>
        <v>0</v>
      </c>
      <c r="N17" s="21">
        <f t="shared" si="6"/>
        <v>0</v>
      </c>
      <c r="O17" s="21">
        <f t="shared" si="6"/>
        <v>0</v>
      </c>
      <c r="P17" s="21">
        <f t="shared" si="6"/>
        <v>0</v>
      </c>
      <c r="Q17" s="21">
        <f t="shared" si="6"/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2">
        <f>SUM(B17:V17)</f>
        <v>741637.22746831016</v>
      </c>
    </row>
    <row r="18" spans="1:23" ht="18.75" x14ac:dyDescent="0.3">
      <c r="A18" s="7" t="s">
        <v>62</v>
      </c>
      <c r="B18" s="23">
        <f t="shared" ref="B18:V18" si="7">B8*B11/B7-B17</f>
        <v>0</v>
      </c>
      <c r="C18" s="23">
        <f t="shared" si="7"/>
        <v>8027.7507499499916</v>
      </c>
      <c r="D18" s="23">
        <f t="shared" si="7"/>
        <v>13356.952325999999</v>
      </c>
      <c r="E18" s="23">
        <f t="shared" si="7"/>
        <v>13356.952325999999</v>
      </c>
      <c r="F18" s="23">
        <f t="shared" si="7"/>
        <v>13356.952325999999</v>
      </c>
      <c r="G18" s="23">
        <f t="shared" si="7"/>
        <v>13356.952325999999</v>
      </c>
      <c r="H18" s="23">
        <f t="shared" si="7"/>
        <v>28157.35003273972</v>
      </c>
      <c r="I18" s="23">
        <f t="shared" si="7"/>
        <v>148410.5814</v>
      </c>
      <c r="J18" s="23">
        <f t="shared" si="7"/>
        <v>148410.5814</v>
      </c>
      <c r="K18" s="23">
        <f t="shared" si="7"/>
        <v>148410.5814</v>
      </c>
      <c r="L18" s="23">
        <f t="shared" si="7"/>
        <v>148410.5814</v>
      </c>
      <c r="M18" s="23">
        <f t="shared" si="7"/>
        <v>148410.5814</v>
      </c>
      <c r="N18" s="23">
        <f t="shared" si="7"/>
        <v>148410.5814</v>
      </c>
      <c r="O18" s="23">
        <f t="shared" si="7"/>
        <v>148410.5814</v>
      </c>
      <c r="P18" s="23">
        <f t="shared" si="7"/>
        <v>148410.5814</v>
      </c>
      <c r="Q18" s="23">
        <f t="shared" si="7"/>
        <v>148410.5814</v>
      </c>
      <c r="R18" s="23">
        <f t="shared" si="7"/>
        <v>148410.5814</v>
      </c>
      <c r="S18" s="23">
        <f t="shared" si="7"/>
        <v>148410.5814</v>
      </c>
      <c r="T18" s="23">
        <f t="shared" si="7"/>
        <v>148410.5814</v>
      </c>
      <c r="U18" s="23">
        <f t="shared" si="7"/>
        <v>148410.5814</v>
      </c>
      <c r="V18" s="23">
        <f t="shared" si="7"/>
        <v>132146.40809589039</v>
      </c>
      <c r="W18" s="19" t="s">
        <v>14</v>
      </c>
    </row>
    <row r="19" spans="1:23" ht="31.5" x14ac:dyDescent="0.5">
      <c r="A19" s="7" t="s">
        <v>15</v>
      </c>
      <c r="B19" s="24">
        <f t="shared" ref="B19:V19" si="8">B18*B14</f>
        <v>0</v>
      </c>
      <c r="C19" s="24">
        <f t="shared" si="8"/>
        <v>6969.7933980926609</v>
      </c>
      <c r="D19" s="24">
        <f t="shared" si="8"/>
        <v>10217.332794651438</v>
      </c>
      <c r="E19" s="24">
        <f t="shared" si="8"/>
        <v>9002.0553256840867</v>
      </c>
      <c r="F19" s="24">
        <f t="shared" si="8"/>
        <v>7931.3262781357589</v>
      </c>
      <c r="G19" s="24">
        <f t="shared" si="8"/>
        <v>6987.9526679610217</v>
      </c>
      <c r="H19" s="24">
        <f t="shared" si="8"/>
        <v>12978.918250928347</v>
      </c>
      <c r="I19" s="24">
        <f t="shared" si="8"/>
        <v>60272.016559917902</v>
      </c>
      <c r="J19" s="24">
        <f t="shared" si="8"/>
        <v>53103.098290676571</v>
      </c>
      <c r="K19" s="24">
        <f t="shared" si="8"/>
        <v>46786.8707406842</v>
      </c>
      <c r="L19" s="24">
        <f t="shared" si="8"/>
        <v>41221.912546858322</v>
      </c>
      <c r="M19" s="24">
        <f t="shared" si="8"/>
        <v>36318.865680051378</v>
      </c>
      <c r="N19" s="24">
        <f t="shared" si="8"/>
        <v>31999.00059916421</v>
      </c>
      <c r="O19" s="24">
        <f t="shared" si="8"/>
        <v>28192.952069748204</v>
      </c>
      <c r="P19" s="24">
        <f t="shared" si="8"/>
        <v>24839.605347795776</v>
      </c>
      <c r="Q19" s="24">
        <f t="shared" si="8"/>
        <v>21885.114843872929</v>
      </c>
      <c r="R19" s="24">
        <f t="shared" si="8"/>
        <v>19282.039510020204</v>
      </c>
      <c r="S19" s="24">
        <f t="shared" si="8"/>
        <v>16988.581066097096</v>
      </c>
      <c r="T19" s="24">
        <f t="shared" si="8"/>
        <v>14967.912833565724</v>
      </c>
      <c r="U19" s="24">
        <f t="shared" si="8"/>
        <v>13187.588399617378</v>
      </c>
      <c r="V19" s="24">
        <f t="shared" si="8"/>
        <v>10482.338685113171</v>
      </c>
      <c r="W19" s="22">
        <f>SUM(B19:V19)</f>
        <v>473615.27588863642</v>
      </c>
    </row>
    <row r="20" spans="1:23" x14ac:dyDescent="0.25">
      <c r="A20" s="89"/>
      <c r="B20" s="89"/>
      <c r="C20" s="89"/>
      <c r="D20" s="89"/>
      <c r="E20" s="89"/>
      <c r="F20" s="89"/>
      <c r="G20" s="89"/>
      <c r="H20" s="8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5">
      <c r="A21" s="89"/>
      <c r="B21" s="89"/>
      <c r="C21" s="89"/>
      <c r="D21" s="89"/>
      <c r="E21" s="89"/>
      <c r="F21" s="89"/>
      <c r="G21" s="89"/>
      <c r="H21" s="8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89"/>
      <c r="B22" s="89"/>
      <c r="C22" s="89"/>
      <c r="D22" s="89"/>
      <c r="E22" s="89"/>
      <c r="F22" s="89"/>
      <c r="G22" s="89"/>
      <c r="H22" s="8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8"/>
    </row>
    <row r="23" spans="1:23" x14ac:dyDescent="0.25">
      <c r="A23" s="89"/>
      <c r="B23" s="28">
        <f>B17</f>
        <v>0</v>
      </c>
      <c r="Q23" s="1"/>
      <c r="R23" s="1"/>
      <c r="S23" s="1"/>
      <c r="T23" s="1"/>
      <c r="U23" s="1"/>
      <c r="V23" s="1"/>
      <c r="W23" s="1"/>
    </row>
    <row r="24" spans="1:23" x14ac:dyDescent="0.25">
      <c r="A24" s="89"/>
      <c r="B24" s="28">
        <f>C17</f>
        <v>81169.479805049996</v>
      </c>
      <c r="C24" s="186"/>
      <c r="D24" s="89"/>
      <c r="E24" s="89"/>
      <c r="F24" s="89"/>
      <c r="G24" s="89"/>
      <c r="H24" s="89"/>
      <c r="I24" s="26"/>
      <c r="J24" s="89"/>
      <c r="K24" s="89"/>
      <c r="L24" s="89"/>
      <c r="M24" s="89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89"/>
      <c r="B25" s="28">
        <f>D17</f>
        <v>135053.629074</v>
      </c>
      <c r="C25" s="186"/>
      <c r="D25" s="89"/>
      <c r="E25" s="89"/>
      <c r="F25" s="89"/>
      <c r="G25" s="89"/>
      <c r="H25" s="89"/>
      <c r="I25" s="1"/>
      <c r="J25" s="89"/>
      <c r="K25" s="89"/>
      <c r="L25" s="89"/>
      <c r="M25" s="89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8.75" x14ac:dyDescent="0.3">
      <c r="A26" s="89"/>
      <c r="B26" s="28">
        <f>E17</f>
        <v>135053.629074</v>
      </c>
      <c r="C26" s="186"/>
      <c r="D26" s="89"/>
      <c r="E26" s="89"/>
      <c r="F26" s="89"/>
      <c r="G26" s="89"/>
      <c r="H26" s="89"/>
      <c r="I26" s="1"/>
      <c r="J26" s="89"/>
      <c r="K26" s="89"/>
      <c r="L26" s="89"/>
      <c r="M26" s="89"/>
      <c r="N26" s="1"/>
      <c r="O26" s="1"/>
      <c r="P26" s="1"/>
      <c r="Q26" s="1"/>
      <c r="R26" s="1"/>
      <c r="S26" s="1"/>
      <c r="T26" s="1"/>
      <c r="U26" s="1"/>
      <c r="V26" s="1"/>
      <c r="W26" s="27"/>
    </row>
    <row r="27" spans="1:23" x14ac:dyDescent="0.25">
      <c r="A27" s="89"/>
      <c r="B27" s="28">
        <f>F17</f>
        <v>135053.629074</v>
      </c>
      <c r="C27" s="186"/>
      <c r="D27" s="89" t="s">
        <v>111</v>
      </c>
      <c r="E27" s="89"/>
      <c r="F27" s="89"/>
      <c r="G27" s="89"/>
      <c r="H27" s="89"/>
      <c r="I27" s="1"/>
      <c r="J27" s="89"/>
      <c r="K27" s="89"/>
      <c r="L27" s="89"/>
      <c r="M27" s="89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89"/>
      <c r="B28" s="28">
        <f>G17</f>
        <v>135053.629074</v>
      </c>
      <c r="C28" s="186"/>
      <c r="D28" s="89"/>
      <c r="E28" s="89"/>
      <c r="F28" s="89"/>
      <c r="G28" s="89"/>
      <c r="H28" s="89"/>
      <c r="I28" s="1"/>
      <c r="J28" s="89"/>
      <c r="K28" s="89"/>
      <c r="L28" s="89"/>
      <c r="M28" s="89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89"/>
      <c r="B29" s="28">
        <f>H17</f>
        <v>120253.23136726028</v>
      </c>
      <c r="C29" s="186"/>
      <c r="D29" s="89"/>
      <c r="E29" s="89"/>
      <c r="F29" s="89"/>
      <c r="G29" s="89"/>
      <c r="H29" s="89"/>
      <c r="I29" s="1"/>
      <c r="J29" s="89"/>
      <c r="K29" s="89"/>
      <c r="L29" s="89"/>
      <c r="M29" s="89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89"/>
      <c r="B30" s="28">
        <f>I17</f>
        <v>0</v>
      </c>
      <c r="C30" s="89"/>
      <c r="D30" s="89"/>
      <c r="E30" s="89"/>
      <c r="F30" s="89"/>
      <c r="G30" s="89"/>
      <c r="H30" s="89"/>
      <c r="I30" s="28"/>
      <c r="J30" s="89"/>
      <c r="K30" s="89"/>
      <c r="L30" s="89"/>
      <c r="M30" s="89"/>
      <c r="N30" s="28"/>
      <c r="O30" s="28"/>
      <c r="P30" s="28"/>
      <c r="Q30" s="28"/>
      <c r="R30" s="28"/>
      <c r="S30" s="28"/>
      <c r="T30" s="28"/>
      <c r="U30" s="28"/>
      <c r="V30" s="1"/>
      <c r="W30" s="1"/>
    </row>
    <row r="31" spans="1:23" x14ac:dyDescent="0.25">
      <c r="A31" s="89"/>
      <c r="B31" s="28">
        <f>J17</f>
        <v>0</v>
      </c>
      <c r="C31" s="89"/>
      <c r="D31" s="89"/>
      <c r="E31" s="89"/>
      <c r="F31" s="89"/>
      <c r="G31" s="89"/>
      <c r="H31" s="8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89"/>
      <c r="B32" s="28">
        <f>K17</f>
        <v>0</v>
      </c>
      <c r="C32" s="89"/>
      <c r="D32" s="89"/>
      <c r="E32" s="89"/>
      <c r="F32" s="89"/>
      <c r="G32" s="89"/>
      <c r="H32" s="8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89"/>
      <c r="B33" s="28">
        <f>L17</f>
        <v>0</v>
      </c>
      <c r="C33" s="89"/>
      <c r="D33" s="89"/>
      <c r="E33" s="89"/>
      <c r="F33" s="89"/>
      <c r="G33" s="89"/>
      <c r="H33" s="8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89"/>
      <c r="B34" s="28">
        <f>M17</f>
        <v>0</v>
      </c>
      <c r="C34" s="89"/>
      <c r="D34" s="89"/>
      <c r="E34" s="89"/>
      <c r="F34" s="89"/>
      <c r="G34" s="89"/>
      <c r="H34" s="8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89"/>
      <c r="B35" s="28">
        <f>N17</f>
        <v>0</v>
      </c>
      <c r="C35" s="89"/>
      <c r="D35" s="89"/>
      <c r="E35" s="89"/>
      <c r="F35" s="89"/>
      <c r="G35" s="89"/>
      <c r="H35" s="8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89"/>
      <c r="B36" s="28">
        <f>O17</f>
        <v>0</v>
      </c>
      <c r="C36" s="89"/>
      <c r="D36" s="89"/>
      <c r="E36" s="89"/>
      <c r="F36" s="89"/>
      <c r="G36" s="89"/>
      <c r="H36" s="8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89"/>
      <c r="B37" s="28">
        <f>P17</f>
        <v>0</v>
      </c>
      <c r="C37" s="89"/>
      <c r="D37" s="89"/>
      <c r="E37" s="89"/>
      <c r="F37" s="89"/>
      <c r="G37" s="89"/>
      <c r="H37" s="8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30"/>
    </row>
    <row r="43" spans="1:23" x14ac:dyDescent="0.25">
      <c r="A43" s="1"/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</sheetData>
  <sheetProtection selectLockedCells="1" selectUnlockedCells="1"/>
  <mergeCells count="1">
    <mergeCell ref="B2:C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K35"/>
  <sheetViews>
    <sheetView showGridLines="0" workbookViewId="0">
      <selection activeCell="E23" sqref="E23:I23"/>
    </sheetView>
  </sheetViews>
  <sheetFormatPr defaultColWidth="9.140625" defaultRowHeight="15" x14ac:dyDescent="0.25"/>
  <cols>
    <col min="1" max="3" width="9.140625" style="52"/>
    <col min="4" max="4" width="3.7109375" style="52" customWidth="1"/>
    <col min="5" max="6" width="9.140625" style="52"/>
    <col min="7" max="7" width="8" style="52" customWidth="1"/>
    <col min="8" max="8" width="9.140625" style="52" hidden="1" customWidth="1"/>
    <col min="9" max="9" width="42.42578125" style="52" customWidth="1"/>
    <col min="10" max="10" width="9.140625" style="52"/>
    <col min="11" max="11" width="6.7109375" style="52" customWidth="1"/>
    <col min="12" max="16384" width="9.140625" style="52"/>
  </cols>
  <sheetData>
    <row r="1" spans="2:11" ht="15.75" thickBot="1" x14ac:dyDescent="0.3"/>
    <row r="2" spans="2:11" x14ac:dyDescent="0.25">
      <c r="B2" s="53"/>
      <c r="C2" s="54"/>
      <c r="D2" s="54"/>
      <c r="E2" s="54"/>
      <c r="F2" s="54"/>
      <c r="G2" s="54"/>
      <c r="H2" s="54"/>
      <c r="I2" s="54"/>
      <c r="J2" s="54"/>
      <c r="K2" s="55"/>
    </row>
    <row r="3" spans="2:11" ht="15.75" thickBot="1" x14ac:dyDescent="0.3">
      <c r="B3" s="56"/>
      <c r="C3" s="57" t="s">
        <v>40</v>
      </c>
      <c r="D3" s="57"/>
      <c r="E3" s="57" t="s">
        <v>41</v>
      </c>
      <c r="F3" s="57"/>
      <c r="G3" s="57"/>
      <c r="H3" s="57"/>
      <c r="I3" s="57"/>
      <c r="J3" s="57"/>
      <c r="K3" s="58"/>
    </row>
    <row r="4" spans="2:11" ht="15.75" thickBot="1" x14ac:dyDescent="0.3">
      <c r="B4" s="56"/>
      <c r="C4" s="61">
        <f>contractDurationYears</f>
        <v>6</v>
      </c>
      <c r="D4" s="57"/>
      <c r="E4" s="61">
        <f>contractDurationDays</f>
        <v>0</v>
      </c>
      <c r="F4" s="57"/>
      <c r="G4" s="57"/>
      <c r="H4" s="57"/>
      <c r="I4" s="65">
        <f>yearlyPaymentsPercentage</f>
        <v>0.91</v>
      </c>
      <c r="J4" s="57"/>
      <c r="K4" s="58"/>
    </row>
    <row r="5" spans="2:11" x14ac:dyDescent="0.25">
      <c r="B5" s="56"/>
      <c r="C5" s="57" t="s">
        <v>42</v>
      </c>
      <c r="D5" s="57"/>
      <c r="E5" s="57"/>
      <c r="F5" s="57"/>
      <c r="G5" s="57"/>
      <c r="H5" s="57"/>
      <c r="I5" s="57" t="s">
        <v>43</v>
      </c>
      <c r="J5" s="57"/>
      <c r="K5" s="58"/>
    </row>
    <row r="6" spans="2:11" x14ac:dyDescent="0.25">
      <c r="B6" s="56"/>
      <c r="C6" s="57"/>
      <c r="D6" s="57"/>
      <c r="E6" s="57"/>
      <c r="F6" s="57"/>
      <c r="G6" s="57"/>
      <c r="H6" s="57"/>
      <c r="I6" s="57"/>
      <c r="J6" s="57"/>
      <c r="K6" s="58"/>
    </row>
    <row r="7" spans="2:11" x14ac:dyDescent="0.25">
      <c r="B7" s="56"/>
      <c r="C7" s="57"/>
      <c r="D7" s="57"/>
      <c r="E7" s="57"/>
      <c r="F7" s="57"/>
      <c r="G7" s="57"/>
      <c r="H7" s="57"/>
      <c r="I7" s="57"/>
      <c r="J7" s="57"/>
      <c r="K7" s="58"/>
    </row>
    <row r="8" spans="2:11" ht="15.75" thickBot="1" x14ac:dyDescent="0.3">
      <c r="B8" s="56"/>
      <c r="C8" s="57"/>
      <c r="D8" s="57"/>
      <c r="E8" s="57"/>
      <c r="F8" s="57"/>
      <c r="G8" s="57"/>
      <c r="H8" s="57"/>
      <c r="I8" s="57"/>
      <c r="J8" s="57"/>
      <c r="K8" s="58"/>
    </row>
    <row r="9" spans="2:11" ht="15.75" thickBot="1" x14ac:dyDescent="0.3">
      <c r="B9" s="56"/>
      <c r="C9" s="59"/>
      <c r="D9" s="57"/>
      <c r="E9" s="57" t="s">
        <v>44</v>
      </c>
      <c r="F9" s="57"/>
      <c r="G9" s="57"/>
      <c r="H9" s="57"/>
      <c r="I9" s="57"/>
      <c r="J9" s="57"/>
      <c r="K9" s="58"/>
    </row>
    <row r="10" spans="2:11" ht="15.75" thickBot="1" x14ac:dyDescent="0.3">
      <c r="B10" s="56"/>
      <c r="C10" s="60" t="s">
        <v>45</v>
      </c>
      <c r="D10" s="57"/>
      <c r="E10" s="57" t="s">
        <v>46</v>
      </c>
      <c r="F10" s="57"/>
      <c r="G10" s="57"/>
      <c r="H10" s="57"/>
      <c r="I10" s="57"/>
      <c r="J10" s="57"/>
      <c r="K10" s="58"/>
    </row>
    <row r="11" spans="2:11" x14ac:dyDescent="0.25">
      <c r="B11" s="56"/>
      <c r="C11" s="57"/>
      <c r="D11" s="57"/>
      <c r="E11" s="57"/>
      <c r="F11" s="57"/>
      <c r="G11" s="57"/>
      <c r="H11" s="57"/>
      <c r="I11" s="57"/>
      <c r="J11" s="57"/>
      <c r="K11" s="58"/>
    </row>
    <row r="12" spans="2:11" ht="15.75" thickBot="1" x14ac:dyDescent="0.3">
      <c r="B12" s="56"/>
      <c r="C12" s="57"/>
      <c r="D12" s="57"/>
      <c r="E12" s="57"/>
      <c r="F12" s="57"/>
      <c r="G12" s="57"/>
      <c r="H12" s="57"/>
      <c r="I12" s="57"/>
      <c r="J12" s="57"/>
      <c r="K12" s="58"/>
    </row>
    <row r="13" spans="2:11" ht="15.75" thickBot="1" x14ac:dyDescent="0.3">
      <c r="B13" s="56"/>
      <c r="C13" s="61">
        <v>2017</v>
      </c>
      <c r="D13" s="57"/>
      <c r="E13" s="203">
        <f>'Тендерна пропозиція'!$B$8</f>
        <v>0</v>
      </c>
      <c r="F13" s="204"/>
      <c r="G13" s="204"/>
      <c r="H13" s="204"/>
      <c r="I13" s="205"/>
      <c r="J13" s="57"/>
      <c r="K13" s="58"/>
    </row>
    <row r="14" spans="2:11" ht="15.75" thickBot="1" x14ac:dyDescent="0.3">
      <c r="B14" s="56"/>
      <c r="C14" s="61">
        <v>2018</v>
      </c>
      <c r="D14" s="57"/>
      <c r="E14" s="203">
        <f>'Тендерна пропозиція'!$C$8</f>
        <v>89197.230554999987</v>
      </c>
      <c r="F14" s="204"/>
      <c r="G14" s="204"/>
      <c r="H14" s="204"/>
      <c r="I14" s="205"/>
      <c r="J14" s="57"/>
      <c r="K14" s="58"/>
    </row>
    <row r="15" spans="2:11" ht="15.75" thickBot="1" x14ac:dyDescent="0.3">
      <c r="B15" s="56"/>
      <c r="C15" s="61">
        <v>2019</v>
      </c>
      <c r="D15" s="57"/>
      <c r="E15" s="203">
        <f>'Тендерна пропозиція'!$D$8</f>
        <v>148410.5814</v>
      </c>
      <c r="F15" s="204"/>
      <c r="G15" s="204"/>
      <c r="H15" s="204"/>
      <c r="I15" s="205"/>
      <c r="J15" s="57"/>
      <c r="K15" s="58"/>
    </row>
    <row r="16" spans="2:11" ht="15.75" thickBot="1" x14ac:dyDescent="0.3">
      <c r="B16" s="56"/>
      <c r="C16" s="61">
        <v>2020</v>
      </c>
      <c r="D16" s="57"/>
      <c r="E16" s="203">
        <f>'Тендерна пропозиція'!$E$8</f>
        <v>148410.5814</v>
      </c>
      <c r="F16" s="204"/>
      <c r="G16" s="204"/>
      <c r="H16" s="204"/>
      <c r="I16" s="205"/>
      <c r="J16" s="57"/>
      <c r="K16" s="58"/>
    </row>
    <row r="17" spans="2:11" ht="15.75" thickBot="1" x14ac:dyDescent="0.3">
      <c r="B17" s="56"/>
      <c r="C17" s="61">
        <v>2021</v>
      </c>
      <c r="D17" s="57"/>
      <c r="E17" s="203">
        <f>'Тендерна пропозиція'!$F$8</f>
        <v>148410.5814</v>
      </c>
      <c r="F17" s="204"/>
      <c r="G17" s="204"/>
      <c r="H17" s="204"/>
      <c r="I17" s="205"/>
      <c r="J17" s="57"/>
      <c r="K17" s="58"/>
    </row>
    <row r="18" spans="2:11" ht="15.75" thickBot="1" x14ac:dyDescent="0.3">
      <c r="B18" s="56"/>
      <c r="C18" s="61">
        <v>2022</v>
      </c>
      <c r="D18" s="57"/>
      <c r="E18" s="203">
        <f>'Тендерна пропозиція'!$G$8</f>
        <v>148410.5814</v>
      </c>
      <c r="F18" s="204"/>
      <c r="G18" s="204"/>
      <c r="H18" s="204"/>
      <c r="I18" s="205"/>
      <c r="J18" s="57"/>
      <c r="K18" s="58"/>
    </row>
    <row r="19" spans="2:11" ht="15.75" thickBot="1" x14ac:dyDescent="0.3">
      <c r="B19" s="56"/>
      <c r="C19" s="61">
        <v>2023</v>
      </c>
      <c r="D19" s="57"/>
      <c r="E19" s="203">
        <f>'Тендерна пропозиція'!$H$8</f>
        <v>148410.5814</v>
      </c>
      <c r="F19" s="204"/>
      <c r="G19" s="204"/>
      <c r="H19" s="204"/>
      <c r="I19" s="205"/>
      <c r="J19" s="57"/>
      <c r="K19" s="58"/>
    </row>
    <row r="20" spans="2:11" ht="15.75" thickBot="1" x14ac:dyDescent="0.3">
      <c r="B20" s="56"/>
      <c r="C20" s="61">
        <v>2024</v>
      </c>
      <c r="D20" s="57"/>
      <c r="E20" s="203">
        <f>'Тендерна пропозиція'!$I$8</f>
        <v>148410.5814</v>
      </c>
      <c r="F20" s="204"/>
      <c r="G20" s="204"/>
      <c r="H20" s="204"/>
      <c r="I20" s="205"/>
      <c r="J20" s="57"/>
      <c r="K20" s="58"/>
    </row>
    <row r="21" spans="2:11" ht="15.75" thickBot="1" x14ac:dyDescent="0.3">
      <c r="B21" s="56"/>
      <c r="C21" s="61">
        <v>2025</v>
      </c>
      <c r="D21" s="57"/>
      <c r="E21" s="203">
        <f>'Тендерна пропозиція'!$J$8</f>
        <v>148410.5814</v>
      </c>
      <c r="F21" s="204"/>
      <c r="G21" s="204"/>
      <c r="H21" s="204"/>
      <c r="I21" s="205"/>
      <c r="J21" s="57"/>
      <c r="K21" s="58"/>
    </row>
    <row r="22" spans="2:11" ht="15.75" thickBot="1" x14ac:dyDescent="0.3">
      <c r="B22" s="56"/>
      <c r="C22" s="61">
        <v>2026</v>
      </c>
      <c r="D22" s="57"/>
      <c r="E22" s="203">
        <f>'Тендерна пропозиція'!$K$8</f>
        <v>148410.5814</v>
      </c>
      <c r="F22" s="204"/>
      <c r="G22" s="204"/>
      <c r="H22" s="204"/>
      <c r="I22" s="205"/>
      <c r="J22" s="57"/>
      <c r="K22" s="58"/>
    </row>
    <row r="23" spans="2:11" ht="15.75" thickBot="1" x14ac:dyDescent="0.3">
      <c r="B23" s="56"/>
      <c r="C23" s="61">
        <v>2027</v>
      </c>
      <c r="D23" s="57"/>
      <c r="E23" s="203">
        <f>'Тендерна пропозиція'!$L$8</f>
        <v>148410.5814</v>
      </c>
      <c r="F23" s="204"/>
      <c r="G23" s="204"/>
      <c r="H23" s="204"/>
      <c r="I23" s="205"/>
      <c r="J23" s="57"/>
      <c r="K23" s="58"/>
    </row>
    <row r="24" spans="2:11" ht="15.75" thickBot="1" x14ac:dyDescent="0.3">
      <c r="B24" s="56"/>
      <c r="C24" s="61">
        <v>2028</v>
      </c>
      <c r="D24" s="57"/>
      <c r="E24" s="203">
        <f>'Тендерна пропозиція'!$M$8</f>
        <v>148410.5814</v>
      </c>
      <c r="F24" s="204"/>
      <c r="G24" s="204"/>
      <c r="H24" s="204"/>
      <c r="I24" s="205"/>
      <c r="J24" s="57"/>
      <c r="K24" s="58"/>
    </row>
    <row r="25" spans="2:11" ht="15.75" thickBot="1" x14ac:dyDescent="0.3">
      <c r="B25" s="56"/>
      <c r="C25" s="61">
        <v>2029</v>
      </c>
      <c r="D25" s="57"/>
      <c r="E25" s="203">
        <f>'Тендерна пропозиція'!$N$8</f>
        <v>148410.5814</v>
      </c>
      <c r="F25" s="204"/>
      <c r="G25" s="204"/>
      <c r="H25" s="204"/>
      <c r="I25" s="205"/>
      <c r="J25" s="57"/>
      <c r="K25" s="58"/>
    </row>
    <row r="26" spans="2:11" ht="15.75" thickBot="1" x14ac:dyDescent="0.3">
      <c r="B26" s="56"/>
      <c r="C26" s="61">
        <v>2030</v>
      </c>
      <c r="D26" s="57"/>
      <c r="E26" s="203">
        <f>'Тендерна пропозиція'!$O$8</f>
        <v>148410.5814</v>
      </c>
      <c r="F26" s="204"/>
      <c r="G26" s="204"/>
      <c r="H26" s="204"/>
      <c r="I26" s="205"/>
      <c r="J26" s="57"/>
      <c r="K26" s="58"/>
    </row>
    <row r="27" spans="2:11" ht="15.75" thickBot="1" x14ac:dyDescent="0.3">
      <c r="B27" s="56"/>
      <c r="C27" s="61">
        <v>2031</v>
      </c>
      <c r="D27" s="57"/>
      <c r="E27" s="203">
        <f>'Тендерна пропозиція'!$P$8</f>
        <v>148410.5814</v>
      </c>
      <c r="F27" s="204"/>
      <c r="G27" s="204"/>
      <c r="H27" s="204"/>
      <c r="I27" s="205"/>
      <c r="J27" s="57"/>
      <c r="K27" s="58"/>
    </row>
    <row r="28" spans="2:11" ht="15.75" thickBot="1" x14ac:dyDescent="0.3">
      <c r="B28" s="56"/>
      <c r="C28" s="61">
        <v>2032</v>
      </c>
      <c r="D28" s="57"/>
      <c r="E28" s="203">
        <f>'Тендерна пропозиція'!$Q$8</f>
        <v>148410.5814</v>
      </c>
      <c r="F28" s="204"/>
      <c r="G28" s="204"/>
      <c r="H28" s="204"/>
      <c r="I28" s="205"/>
      <c r="J28" s="57"/>
      <c r="K28" s="58"/>
    </row>
    <row r="29" spans="2:11" ht="15.75" thickBot="1" x14ac:dyDescent="0.3">
      <c r="B29" s="56"/>
      <c r="C29" s="61">
        <v>2033</v>
      </c>
      <c r="D29" s="57"/>
      <c r="E29" s="203">
        <f>'Тендерна пропозиція'!$R$8</f>
        <v>148410.5814</v>
      </c>
      <c r="F29" s="204"/>
      <c r="G29" s="204"/>
      <c r="H29" s="204"/>
      <c r="I29" s="205"/>
      <c r="J29" s="57"/>
      <c r="K29" s="58"/>
    </row>
    <row r="30" spans="2:11" ht="15.75" thickBot="1" x14ac:dyDescent="0.3">
      <c r="B30" s="56"/>
      <c r="C30" s="61">
        <v>2034</v>
      </c>
      <c r="D30" s="57"/>
      <c r="E30" s="203">
        <f>'Тендерна пропозиція'!$S$8</f>
        <v>148410.5814</v>
      </c>
      <c r="F30" s="204"/>
      <c r="G30" s="204"/>
      <c r="H30" s="204"/>
      <c r="I30" s="205"/>
      <c r="J30" s="57"/>
      <c r="K30" s="58"/>
    </row>
    <row r="31" spans="2:11" ht="15.75" thickBot="1" x14ac:dyDescent="0.3">
      <c r="B31" s="56"/>
      <c r="C31" s="61">
        <v>2035</v>
      </c>
      <c r="D31" s="57"/>
      <c r="E31" s="203">
        <f>'Тендерна пропозиція'!$T$8</f>
        <v>148410.5814</v>
      </c>
      <c r="F31" s="204"/>
      <c r="G31" s="204"/>
      <c r="H31" s="204"/>
      <c r="I31" s="205"/>
      <c r="J31" s="57"/>
      <c r="K31" s="58"/>
    </row>
    <row r="32" spans="2:11" ht="15.75" thickBot="1" x14ac:dyDescent="0.3">
      <c r="B32" s="56"/>
      <c r="C32" s="61">
        <v>2036</v>
      </c>
      <c r="D32" s="57"/>
      <c r="E32" s="203">
        <f>'Тендерна пропозиція'!$U$8</f>
        <v>148410.5814</v>
      </c>
      <c r="F32" s="204"/>
      <c r="G32" s="204"/>
      <c r="H32" s="204"/>
      <c r="I32" s="205"/>
      <c r="J32" s="57"/>
      <c r="K32" s="58"/>
    </row>
    <row r="33" spans="2:11" ht="15.75" thickBot="1" x14ac:dyDescent="0.3">
      <c r="B33" s="56"/>
      <c r="C33" s="61">
        <v>2037</v>
      </c>
      <c r="D33" s="57"/>
      <c r="E33" s="203">
        <f>'Тендерна пропозиція'!$V$8</f>
        <v>148410.5814</v>
      </c>
      <c r="F33" s="204"/>
      <c r="G33" s="204"/>
      <c r="H33" s="204"/>
      <c r="I33" s="205"/>
      <c r="J33" s="57"/>
      <c r="K33" s="58"/>
    </row>
    <row r="34" spans="2:11" x14ac:dyDescent="0.25">
      <c r="B34" s="56"/>
      <c r="C34" s="57"/>
      <c r="D34" s="57"/>
      <c r="E34" s="57"/>
      <c r="F34" s="57"/>
      <c r="G34" s="57"/>
      <c r="H34" s="57"/>
      <c r="I34" s="57"/>
      <c r="J34" s="57"/>
      <c r="K34" s="58"/>
    </row>
    <row r="35" spans="2:11" ht="15.75" thickBot="1" x14ac:dyDescent="0.3">
      <c r="B35" s="62"/>
      <c r="C35" s="63"/>
      <c r="D35" s="63"/>
      <c r="E35" s="63"/>
      <c r="F35" s="63"/>
      <c r="G35" s="63"/>
      <c r="H35" s="63"/>
      <c r="I35" s="63"/>
      <c r="J35" s="63"/>
      <c r="K35" s="64"/>
    </row>
  </sheetData>
  <mergeCells count="21">
    <mergeCell ref="E31:I31"/>
    <mergeCell ref="E32:I32"/>
    <mergeCell ref="E33:I33"/>
    <mergeCell ref="E25:I25"/>
    <mergeCell ref="E26:I26"/>
    <mergeCell ref="E27:I27"/>
    <mergeCell ref="E28:I28"/>
    <mergeCell ref="E29:I29"/>
    <mergeCell ref="E30:I30"/>
    <mergeCell ref="E24:I24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E22:I22"/>
    <mergeCell ref="E23:I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0"/>
  <sheetViews>
    <sheetView topLeftCell="A7" zoomScale="55" zoomScaleNormal="55" workbookViewId="0">
      <selection activeCell="B20" sqref="B20"/>
    </sheetView>
  </sheetViews>
  <sheetFormatPr defaultColWidth="14.42578125" defaultRowHeight="15" x14ac:dyDescent="0.25"/>
  <cols>
    <col min="1" max="1" width="37.28515625" style="89" customWidth="1"/>
    <col min="2" max="2" width="17.7109375" style="89" customWidth="1"/>
    <col min="3" max="3" width="14" style="89" customWidth="1"/>
    <col min="4" max="4" width="19.28515625" style="89" customWidth="1"/>
    <col min="5" max="22" width="9.140625" style="89" customWidth="1"/>
    <col min="23" max="23" width="36.42578125" style="89" customWidth="1"/>
    <col min="24" max="26" width="8.7109375" style="89" customWidth="1"/>
    <col min="27" max="16384" width="14.42578125" style="89"/>
  </cols>
  <sheetData>
    <row r="1" spans="1:23" ht="22.5" x14ac:dyDescent="0.25">
      <c r="A1" s="206" t="s">
        <v>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3" x14ac:dyDescent="0.25">
      <c r="F2" s="6"/>
    </row>
    <row r="3" spans="1:23" x14ac:dyDescent="0.25">
      <c r="A3" s="95" t="s">
        <v>2</v>
      </c>
      <c r="B3" s="92">
        <v>1</v>
      </c>
      <c r="C3" s="92">
        <f t="shared" ref="C3:V3" si="0">B3+1</f>
        <v>2</v>
      </c>
      <c r="D3" s="92">
        <f t="shared" si="0"/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</row>
    <row r="4" spans="1:23" x14ac:dyDescent="0.25">
      <c r="A4" s="95" t="s">
        <v>3</v>
      </c>
      <c r="B4" s="92">
        <f t="shared" ref="B4:V4" si="1">YEAR(startDate)-1+B3</f>
        <v>2017</v>
      </c>
      <c r="C4" s="92">
        <f t="shared" si="1"/>
        <v>2018</v>
      </c>
      <c r="D4" s="92">
        <f t="shared" si="1"/>
        <v>2019</v>
      </c>
      <c r="E4" s="92">
        <f t="shared" si="1"/>
        <v>2020</v>
      </c>
      <c r="F4" s="92">
        <f t="shared" si="1"/>
        <v>2021</v>
      </c>
      <c r="G4" s="92">
        <f t="shared" si="1"/>
        <v>2022</v>
      </c>
      <c r="H4" s="92">
        <f t="shared" si="1"/>
        <v>2023</v>
      </c>
      <c r="I4" s="92">
        <f t="shared" si="1"/>
        <v>2024</v>
      </c>
      <c r="J4" s="92">
        <f t="shared" si="1"/>
        <v>2025</v>
      </c>
      <c r="K4" s="92">
        <f t="shared" si="1"/>
        <v>2026</v>
      </c>
      <c r="L4" s="92">
        <f t="shared" si="1"/>
        <v>2027</v>
      </c>
      <c r="M4" s="92">
        <f t="shared" si="1"/>
        <v>2028</v>
      </c>
      <c r="N4" s="92">
        <f t="shared" si="1"/>
        <v>2029</v>
      </c>
      <c r="O4" s="92">
        <f t="shared" si="1"/>
        <v>2030</v>
      </c>
      <c r="P4" s="92">
        <f t="shared" si="1"/>
        <v>2031</v>
      </c>
      <c r="Q4" s="92">
        <f t="shared" si="1"/>
        <v>2032</v>
      </c>
      <c r="R4" s="92">
        <f t="shared" si="1"/>
        <v>2033</v>
      </c>
      <c r="S4" s="92">
        <f t="shared" si="1"/>
        <v>2034</v>
      </c>
      <c r="T4" s="92">
        <f t="shared" si="1"/>
        <v>2035</v>
      </c>
      <c r="U4" s="92">
        <f t="shared" si="1"/>
        <v>2036</v>
      </c>
      <c r="V4" s="92">
        <f t="shared" si="1"/>
        <v>2037</v>
      </c>
    </row>
    <row r="5" spans="1:23" ht="30" x14ac:dyDescent="0.25">
      <c r="A5" s="96" t="s">
        <v>12</v>
      </c>
      <c r="B5" s="93">
        <f>'Тендерна пропозиція'!B16</f>
        <v>40</v>
      </c>
      <c r="C5" s="93">
        <f>'Тендерна пропозиція'!C16</f>
        <v>365</v>
      </c>
      <c r="D5" s="93">
        <f>'Тендерна пропозиція'!D16</f>
        <v>365</v>
      </c>
      <c r="E5" s="93">
        <f>'Тендерна пропозиція'!E16</f>
        <v>365</v>
      </c>
      <c r="F5" s="93">
        <f>'Тендерна пропозиція'!F16</f>
        <v>365</v>
      </c>
      <c r="G5" s="93">
        <f>'Тендерна пропозиція'!G16</f>
        <v>365</v>
      </c>
      <c r="H5" s="93">
        <f>'Тендерна пропозиція'!H16</f>
        <v>325</v>
      </c>
      <c r="I5" s="93">
        <f>'Тендерна пропозиція'!I16</f>
        <v>0</v>
      </c>
      <c r="J5" s="93">
        <f>'Тендерна пропозиція'!J16</f>
        <v>0</v>
      </c>
      <c r="K5" s="93">
        <f>'Тендерна пропозиція'!K16</f>
        <v>0</v>
      </c>
      <c r="L5" s="93">
        <f>'Тендерна пропозиція'!L16</f>
        <v>0</v>
      </c>
      <c r="M5" s="93">
        <f>'Тендерна пропозиція'!M16</f>
        <v>0</v>
      </c>
      <c r="N5" s="93">
        <f>'Тендерна пропозиція'!N16</f>
        <v>0</v>
      </c>
      <c r="O5" s="93">
        <f>'Тендерна пропозиція'!O16</f>
        <v>0</v>
      </c>
      <c r="P5" s="93">
        <f>'Тендерна пропозиція'!P16</f>
        <v>0</v>
      </c>
      <c r="Q5" s="93"/>
      <c r="R5" s="93"/>
      <c r="S5" s="93"/>
      <c r="T5" s="93"/>
      <c r="U5" s="93"/>
      <c r="V5" s="93"/>
    </row>
    <row r="6" spans="1:23" ht="15" customHeight="1" x14ac:dyDescent="0.25">
      <c r="A6" s="95" t="s">
        <v>61</v>
      </c>
      <c r="B6" s="94">
        <f>'Тендерна пропозиція'!B8</f>
        <v>0</v>
      </c>
      <c r="C6" s="94">
        <f>'Тендерна пропозиція'!C8</f>
        <v>89197.230554999987</v>
      </c>
      <c r="D6" s="94">
        <f>'Тендерна пропозиція'!D8</f>
        <v>148410.5814</v>
      </c>
      <c r="E6" s="94">
        <f>'Тендерна пропозиція'!E8</f>
        <v>148410.5814</v>
      </c>
      <c r="F6" s="94">
        <f>'Тендерна пропозиція'!F8</f>
        <v>148410.5814</v>
      </c>
      <c r="G6" s="94">
        <f>'Тендерна пропозиція'!G8</f>
        <v>148410.5814</v>
      </c>
      <c r="H6" s="94">
        <f>'Тендерна пропозиція'!H8</f>
        <v>148410.5814</v>
      </c>
      <c r="I6" s="94">
        <f>'Тендерна пропозиція'!I8</f>
        <v>148410.5814</v>
      </c>
      <c r="J6" s="94">
        <f>'Тендерна пропозиція'!J8</f>
        <v>148410.5814</v>
      </c>
      <c r="K6" s="94">
        <f>'Тендерна пропозиція'!K8</f>
        <v>148410.5814</v>
      </c>
      <c r="L6" s="94">
        <f>'Тендерна пропозиція'!L8</f>
        <v>148410.5814</v>
      </c>
      <c r="M6" s="94">
        <f>'Тендерна пропозиція'!M8</f>
        <v>148410.5814</v>
      </c>
      <c r="N6" s="94">
        <f>'Тендерна пропозиція'!N8</f>
        <v>148410.5814</v>
      </c>
      <c r="O6" s="94">
        <f>'Тендерна пропозиція'!O8</f>
        <v>148410.5814</v>
      </c>
      <c r="P6" s="94">
        <f>'Тендерна пропозиція'!P8</f>
        <v>148410.5814</v>
      </c>
      <c r="Q6" s="94">
        <f>'Тендерна пропозиція'!Q8</f>
        <v>148410.5814</v>
      </c>
      <c r="R6" s="94">
        <f>'Тендерна пропозиція'!R8</f>
        <v>148410.5814</v>
      </c>
      <c r="S6" s="94">
        <f>'Тендерна пропозиція'!S8</f>
        <v>148410.5814</v>
      </c>
      <c r="T6" s="94">
        <f>'Тендерна пропозиція'!T8</f>
        <v>148410.5814</v>
      </c>
      <c r="U6" s="94">
        <f>'Тендерна пропозиція'!U8</f>
        <v>148410.5814</v>
      </c>
      <c r="V6" s="94">
        <f>'Тендерна пропозиція'!V8</f>
        <v>148410.5814</v>
      </c>
    </row>
    <row r="7" spans="1:23" ht="15" customHeight="1" x14ac:dyDescent="0.25">
      <c r="A7" s="96" t="s">
        <v>10</v>
      </c>
      <c r="B7" s="94">
        <f>'Тендерна пропозиція'!B14</f>
        <v>0.98542116630669552</v>
      </c>
      <c r="C7" s="94">
        <f>'Тендерна пропозиція'!C14</f>
        <v>0.86821248132748507</v>
      </c>
      <c r="D7" s="94">
        <f>'Тендерна пропозиція'!D14</f>
        <v>0.76494491746914983</v>
      </c>
      <c r="E7" s="94">
        <f>'Тендерна пропозиція'!E14</f>
        <v>0.67396027970850203</v>
      </c>
      <c r="F7" s="94">
        <f>'Тендерна пропозиція'!F14</f>
        <v>0.59379760326740272</v>
      </c>
      <c r="G7" s="94">
        <f>'Тендерна пропозиція'!G14</f>
        <v>0.52316969450872486</v>
      </c>
      <c r="H7" s="94">
        <f>'Тендерна пропозиція'!H14</f>
        <v>0.46094246212222456</v>
      </c>
      <c r="I7" s="94">
        <f>'Тендерна пропозиція'!I14</f>
        <v>0.40611670671561634</v>
      </c>
      <c r="J7" s="94">
        <f>'Тендерна пропозиція'!J14</f>
        <v>0.3578120764014241</v>
      </c>
      <c r="K7" s="94">
        <f>'Тендерна пропозиція'!K14</f>
        <v>0.31525293075015337</v>
      </c>
      <c r="L7" s="94">
        <f>'Тендерна пропозиція'!L14</f>
        <v>0.27775588612348312</v>
      </c>
      <c r="M7" s="94">
        <f>'Тендерна пропозиція'!M14</f>
        <v>0.24471884239954458</v>
      </c>
      <c r="N7" s="94">
        <f>'Тендерна пропозиція'!N14</f>
        <v>0.21561131488946658</v>
      </c>
      <c r="O7" s="94">
        <f>'Тендерна пропозиція'!O14</f>
        <v>0.18996591620217321</v>
      </c>
      <c r="P7" s="94">
        <f>'Тендерна пропозиція'!P14</f>
        <v>0.16737085127944776</v>
      </c>
      <c r="Q7" s="94">
        <f>'Тендерна пропозиція'!Q14</f>
        <v>0.14746330509202446</v>
      </c>
      <c r="R7" s="94">
        <f>'Тендерна пропозиція'!R14</f>
        <v>0.12992361682116693</v>
      </c>
      <c r="S7" s="94">
        <f>'Тендерна пропозиція'!S14</f>
        <v>0.11447014697900171</v>
      </c>
      <c r="T7" s="94">
        <f>'Тендерна пропозиція'!T14</f>
        <v>0.1008547550475786</v>
      </c>
      <c r="U7" s="94">
        <f>'Тендерна пропозиція'!U14</f>
        <v>8.8858815019893039E-2</v>
      </c>
      <c r="V7" s="94">
        <f>'Тендерна пропозиція'!V14</f>
        <v>7.9323674673826866E-2</v>
      </c>
    </row>
    <row r="8" spans="1:23" x14ac:dyDescent="0.25">
      <c r="A8" s="95" t="s">
        <v>63</v>
      </c>
      <c r="B8" s="94">
        <f>'Тендерна пропозиція'!B17</f>
        <v>0</v>
      </c>
      <c r="C8" s="94">
        <f>'Тендерна пропозиція'!C17</f>
        <v>81169.479805049996</v>
      </c>
      <c r="D8" s="94">
        <f>'Тендерна пропозиція'!D17</f>
        <v>135053.629074</v>
      </c>
      <c r="E8" s="94">
        <f>'Тендерна пропозиція'!E17</f>
        <v>135053.629074</v>
      </c>
      <c r="F8" s="94">
        <f>'Тендерна пропозиція'!F17</f>
        <v>135053.629074</v>
      </c>
      <c r="G8" s="94">
        <f>'Тендерна пропозиція'!G17</f>
        <v>135053.629074</v>
      </c>
      <c r="H8" s="94">
        <f>'Тендерна пропозиція'!H17</f>
        <v>120253.23136726028</v>
      </c>
      <c r="I8" s="94">
        <f>'Тендерна пропозиція'!I17</f>
        <v>0</v>
      </c>
      <c r="J8" s="94">
        <f>'Тендерна пропозиція'!J17</f>
        <v>0</v>
      </c>
      <c r="K8" s="94">
        <f>'Тендерна пропозиція'!K17</f>
        <v>0</v>
      </c>
      <c r="L8" s="94">
        <f>'Тендерна пропозиція'!L17</f>
        <v>0</v>
      </c>
      <c r="M8" s="94">
        <f>'Тендерна пропозиція'!M17</f>
        <v>0</v>
      </c>
      <c r="N8" s="94">
        <f>'Тендерна пропозиція'!N17</f>
        <v>0</v>
      </c>
      <c r="O8" s="94">
        <f>'Тендерна пропозиція'!O17</f>
        <v>0</v>
      </c>
      <c r="P8" s="94">
        <f>'Тендерна пропозиція'!P17</f>
        <v>0</v>
      </c>
      <c r="Q8" s="94">
        <f>'Тендерна пропозиція'!Q17</f>
        <v>0</v>
      </c>
      <c r="R8" s="94">
        <f>'Тендерна пропозиція'!R17</f>
        <v>0</v>
      </c>
      <c r="S8" s="94">
        <f>'Тендерна пропозиція'!S17</f>
        <v>0</v>
      </c>
      <c r="T8" s="94">
        <f>'Тендерна пропозиція'!T17</f>
        <v>0</v>
      </c>
      <c r="U8" s="94">
        <f>'Тендерна пропозиція'!U17</f>
        <v>0</v>
      </c>
      <c r="V8" s="94">
        <f>'Тендерна пропозиція'!V17</f>
        <v>0</v>
      </c>
    </row>
    <row r="9" spans="1:23" x14ac:dyDescent="0.25">
      <c r="A9" s="95" t="s">
        <v>62</v>
      </c>
      <c r="B9" s="94">
        <f>'Тендерна пропозиція'!B18</f>
        <v>0</v>
      </c>
      <c r="C9" s="94">
        <f>'Тендерна пропозиція'!C18</f>
        <v>8027.7507499499916</v>
      </c>
      <c r="D9" s="94">
        <f>'Тендерна пропозиція'!D18</f>
        <v>13356.952325999999</v>
      </c>
      <c r="E9" s="94">
        <f>'Тендерна пропозиція'!E18</f>
        <v>13356.952325999999</v>
      </c>
      <c r="F9" s="94">
        <f>'Тендерна пропозиція'!F18</f>
        <v>13356.952325999999</v>
      </c>
      <c r="G9" s="94">
        <f>'Тендерна пропозиція'!G18</f>
        <v>13356.952325999999</v>
      </c>
      <c r="H9" s="94">
        <f>'Тендерна пропозиція'!H18</f>
        <v>28157.35003273972</v>
      </c>
      <c r="I9" s="94">
        <f>'Тендерна пропозиція'!I18</f>
        <v>148410.5814</v>
      </c>
      <c r="J9" s="94">
        <f>'Тендерна пропозиція'!J18</f>
        <v>148410.5814</v>
      </c>
      <c r="K9" s="94">
        <f>'Тендерна пропозиція'!K18</f>
        <v>148410.5814</v>
      </c>
      <c r="L9" s="94">
        <f>'Тендерна пропозиція'!L18</f>
        <v>148410.5814</v>
      </c>
      <c r="M9" s="94">
        <f>'Тендерна пропозиція'!M18</f>
        <v>148410.5814</v>
      </c>
      <c r="N9" s="94">
        <f>'Тендерна пропозиція'!N18</f>
        <v>148410.5814</v>
      </c>
      <c r="O9" s="94">
        <f>'Тендерна пропозиція'!O18</f>
        <v>148410.5814</v>
      </c>
      <c r="P9" s="94">
        <f>'Тендерна пропозиція'!P18</f>
        <v>148410.5814</v>
      </c>
      <c r="Q9" s="94">
        <f>'Тендерна пропозиція'!Q18</f>
        <v>148410.5814</v>
      </c>
      <c r="R9" s="94">
        <f>'Тендерна пропозиція'!R18</f>
        <v>148410.5814</v>
      </c>
      <c r="S9" s="94">
        <f>'Тендерна пропозиція'!S18</f>
        <v>148410.5814</v>
      </c>
      <c r="T9" s="94">
        <f>'Тендерна пропозиція'!T18</f>
        <v>148410.5814</v>
      </c>
      <c r="U9" s="94">
        <f>'Тендерна пропозиція'!U18</f>
        <v>148410.5814</v>
      </c>
      <c r="V9" s="94">
        <f>'Тендерна пропозиція'!V18</f>
        <v>132146.40809589039</v>
      </c>
    </row>
    <row r="10" spans="1:23" x14ac:dyDescent="0.25">
      <c r="A10" s="95" t="s">
        <v>15</v>
      </c>
      <c r="B10" s="94">
        <f>'Тендерна пропозиція'!B19</f>
        <v>0</v>
      </c>
      <c r="C10" s="94">
        <f>'Тендерна пропозиція'!C19</f>
        <v>6969.7933980926609</v>
      </c>
      <c r="D10" s="94">
        <f>'Тендерна пропозиція'!D19</f>
        <v>10217.332794651438</v>
      </c>
      <c r="E10" s="94">
        <f>'Тендерна пропозиція'!E19</f>
        <v>9002.0553256840867</v>
      </c>
      <c r="F10" s="94">
        <f>'Тендерна пропозиція'!F19</f>
        <v>7931.3262781357589</v>
      </c>
      <c r="G10" s="94">
        <f>'Тендерна пропозиція'!G19</f>
        <v>6987.9526679610217</v>
      </c>
      <c r="H10" s="94">
        <f>'Тендерна пропозиція'!H19</f>
        <v>12978.918250928347</v>
      </c>
      <c r="I10" s="94">
        <f>'Тендерна пропозиція'!I19</f>
        <v>60272.016559917902</v>
      </c>
      <c r="J10" s="94">
        <f>'Тендерна пропозиція'!J19</f>
        <v>53103.098290676571</v>
      </c>
      <c r="K10" s="94">
        <f>'Тендерна пропозиція'!K19</f>
        <v>46786.8707406842</v>
      </c>
      <c r="L10" s="94">
        <f>'Тендерна пропозиція'!L19</f>
        <v>41221.912546858322</v>
      </c>
      <c r="M10" s="94">
        <f>'Тендерна пропозиція'!M19</f>
        <v>36318.865680051378</v>
      </c>
      <c r="N10" s="94">
        <f>'Тендерна пропозиція'!N19</f>
        <v>31999.00059916421</v>
      </c>
      <c r="O10" s="94">
        <f>'Тендерна пропозиція'!O19</f>
        <v>28192.952069748204</v>
      </c>
      <c r="P10" s="94">
        <f>'Тендерна пропозиція'!P19</f>
        <v>24839.605347795776</v>
      </c>
      <c r="Q10" s="94">
        <f>'Тендерна пропозиція'!Q19</f>
        <v>21885.114843872929</v>
      </c>
      <c r="R10" s="94">
        <f>'Тендерна пропозиція'!R19</f>
        <v>19282.039510020204</v>
      </c>
      <c r="S10" s="94">
        <f>'Тендерна пропозиція'!S19</f>
        <v>16988.581066097096</v>
      </c>
      <c r="T10" s="94">
        <f>'Тендерна пропозиція'!T19</f>
        <v>14967.912833565724</v>
      </c>
      <c r="U10" s="94">
        <f>'Тендерна пропозиція'!U19</f>
        <v>13187.588399617378</v>
      </c>
      <c r="V10" s="94">
        <f>'Тендерна пропозиція'!V19</f>
        <v>10482.338685113171</v>
      </c>
    </row>
    <row r="12" spans="1:23" ht="21" x14ac:dyDescent="0.3">
      <c r="A12" s="98" t="s">
        <v>69</v>
      </c>
      <c r="B12" s="123">
        <f>SUM(B8:V8)</f>
        <v>741637.22746831016</v>
      </c>
      <c r="C12" s="100"/>
      <c r="D12" s="100"/>
      <c r="W12" s="27"/>
    </row>
    <row r="13" spans="1:23" ht="21" x14ac:dyDescent="0.25">
      <c r="A13" s="98" t="s">
        <v>14</v>
      </c>
      <c r="B13" s="99">
        <f>SUM(B10:V10)</f>
        <v>473615.27588863642</v>
      </c>
      <c r="C13" s="100"/>
      <c r="D13" s="100"/>
    </row>
    <row r="14" spans="1:23" ht="84" x14ac:dyDescent="0.25">
      <c r="A14" s="116" t="s">
        <v>67</v>
      </c>
      <c r="B14" s="117">
        <f>yearlyPaymentsPercentage</f>
        <v>0.91</v>
      </c>
      <c r="C14" s="100"/>
      <c r="D14" s="100"/>
    </row>
    <row r="15" spans="1:23" s="105" customFormat="1" ht="21" x14ac:dyDescent="0.25">
      <c r="A15" s="111"/>
      <c r="B15" s="112"/>
      <c r="C15" s="104"/>
      <c r="D15" s="104"/>
    </row>
    <row r="16" spans="1:23" ht="21" x14ac:dyDescent="0.25">
      <c r="A16" s="101" t="s">
        <v>71</v>
      </c>
      <c r="B16" s="113" t="s">
        <v>64</v>
      </c>
      <c r="C16" s="113" t="s">
        <v>65</v>
      </c>
      <c r="D16" s="113" t="s">
        <v>66</v>
      </c>
    </row>
    <row r="17" spans="1:22" ht="21" x14ac:dyDescent="0.25">
      <c r="A17" s="102">
        <f>'Оголошення закупівлі'!B13</f>
        <v>0.02</v>
      </c>
      <c r="B17" s="103" t="e">
        <f>Аукціон!#REF!</f>
        <v>#REF!</v>
      </c>
      <c r="C17" s="103" t="e">
        <f>Аукціон!#REF!</f>
        <v>#REF!</v>
      </c>
      <c r="D17" s="103" t="e">
        <f>Аукціон!#REF!</f>
        <v>#REF!</v>
      </c>
    </row>
    <row r="18" spans="1:22" ht="63" x14ac:dyDescent="0.25">
      <c r="A18" s="118" t="s">
        <v>78</v>
      </c>
      <c r="B18" s="119" t="e">
        <f>INDEX(A24:V38,7,contractDurationYears+2)</f>
        <v>#REF!</v>
      </c>
      <c r="C18" s="119" t="e">
        <f>INDEX(A24:V38,11,contractDurationYears+2)</f>
        <v>#REF!</v>
      </c>
      <c r="D18" s="119" t="e">
        <f>INDEX(A24:V38,15,contractDurationYears+2)</f>
        <v>#REF!</v>
      </c>
    </row>
    <row r="19" spans="1:22" ht="21" x14ac:dyDescent="0.25">
      <c r="A19" s="106" t="s">
        <v>73</v>
      </c>
      <c r="B19" s="122" t="e">
        <f>B13*(1+B17)</f>
        <v>#REF!</v>
      </c>
      <c r="C19" s="122" t="e">
        <f>B19*(1+C17)</f>
        <v>#REF!</v>
      </c>
      <c r="D19" s="122" t="e">
        <f>C19*(1+D17)</f>
        <v>#REF!</v>
      </c>
    </row>
    <row r="20" spans="1:22" ht="21" x14ac:dyDescent="0.25">
      <c r="A20" s="106" t="s">
        <v>72</v>
      </c>
      <c r="B20" s="122" t="e">
        <f>B19-B13</f>
        <v>#REF!</v>
      </c>
      <c r="C20" s="122" t="e">
        <f>C19-B19</f>
        <v>#REF!</v>
      </c>
      <c r="D20" s="122" t="e">
        <f>D19-C19</f>
        <v>#REF!</v>
      </c>
    </row>
    <row r="21" spans="1:22" ht="42" x14ac:dyDescent="0.25">
      <c r="A21" s="107" t="s">
        <v>74</v>
      </c>
      <c r="B21" s="122" t="e">
        <f>SUM(B29:P29)</f>
        <v>#REF!</v>
      </c>
      <c r="C21" s="122" t="e">
        <f>SUM(B33:P33)</f>
        <v>#REF!</v>
      </c>
      <c r="D21" s="122" t="e">
        <f>SUM(B37:P37)</f>
        <v>#REF!</v>
      </c>
    </row>
    <row r="22" spans="1:22" ht="42" x14ac:dyDescent="0.25">
      <c r="A22" s="107" t="s">
        <v>75</v>
      </c>
      <c r="B22" s="122" t="e">
        <f>B12-B21</f>
        <v>#REF!</v>
      </c>
      <c r="C22" s="122" t="e">
        <f>B21-C21</f>
        <v>#REF!</v>
      </c>
      <c r="D22" s="122" t="e">
        <f>C21-D21</f>
        <v>#REF!</v>
      </c>
    </row>
    <row r="23" spans="1:22" ht="21" x14ac:dyDescent="0.25">
      <c r="A23" s="108"/>
      <c r="B23" s="109"/>
      <c r="C23" s="109"/>
      <c r="D23" s="109"/>
    </row>
    <row r="24" spans="1:22" x14ac:dyDescent="0.25">
      <c r="A24" s="92" t="s">
        <v>2</v>
      </c>
      <c r="B24" s="92">
        <v>1</v>
      </c>
      <c r="C24" s="92">
        <f t="shared" ref="C24:V24" si="2">B24+1</f>
        <v>2</v>
      </c>
      <c r="D24" s="92">
        <f t="shared" si="2"/>
        <v>3</v>
      </c>
      <c r="E24" s="92">
        <f t="shared" si="2"/>
        <v>4</v>
      </c>
      <c r="F24" s="92">
        <f t="shared" si="2"/>
        <v>5</v>
      </c>
      <c r="G24" s="92">
        <f t="shared" si="2"/>
        <v>6</v>
      </c>
      <c r="H24" s="92">
        <f t="shared" si="2"/>
        <v>7</v>
      </c>
      <c r="I24" s="92">
        <f t="shared" si="2"/>
        <v>8</v>
      </c>
      <c r="J24" s="92">
        <f t="shared" si="2"/>
        <v>9</v>
      </c>
      <c r="K24" s="92">
        <f t="shared" si="2"/>
        <v>10</v>
      </c>
      <c r="L24" s="92">
        <f t="shared" si="2"/>
        <v>11</v>
      </c>
      <c r="M24" s="92">
        <f t="shared" si="2"/>
        <v>12</v>
      </c>
      <c r="N24" s="92">
        <f t="shared" si="2"/>
        <v>13</v>
      </c>
      <c r="O24" s="92">
        <f t="shared" si="2"/>
        <v>14</v>
      </c>
      <c r="P24" s="92">
        <f t="shared" si="2"/>
        <v>15</v>
      </c>
      <c r="Q24" s="92">
        <f t="shared" si="2"/>
        <v>16</v>
      </c>
      <c r="R24" s="92">
        <f t="shared" si="2"/>
        <v>17</v>
      </c>
      <c r="S24" s="92">
        <f t="shared" si="2"/>
        <v>18</v>
      </c>
      <c r="T24" s="92">
        <f t="shared" si="2"/>
        <v>19</v>
      </c>
      <c r="U24" s="92">
        <f t="shared" si="2"/>
        <v>20</v>
      </c>
      <c r="V24" s="92">
        <f t="shared" si="2"/>
        <v>21</v>
      </c>
    </row>
    <row r="25" spans="1:22" x14ac:dyDescent="0.25">
      <c r="A25" s="92" t="s">
        <v>3</v>
      </c>
      <c r="B25" s="92">
        <f t="shared" ref="B25:V25" si="3">YEAR(startDate)-1+B24</f>
        <v>2017</v>
      </c>
      <c r="C25" s="92">
        <f t="shared" si="3"/>
        <v>2018</v>
      </c>
      <c r="D25" s="92">
        <f t="shared" si="3"/>
        <v>2019</v>
      </c>
      <c r="E25" s="92">
        <f t="shared" si="3"/>
        <v>2020</v>
      </c>
      <c r="F25" s="92">
        <f t="shared" si="3"/>
        <v>2021</v>
      </c>
      <c r="G25" s="92">
        <f t="shared" si="3"/>
        <v>2022</v>
      </c>
      <c r="H25" s="92">
        <f t="shared" si="3"/>
        <v>2023</v>
      </c>
      <c r="I25" s="92">
        <f t="shared" si="3"/>
        <v>2024</v>
      </c>
      <c r="J25" s="92">
        <f t="shared" si="3"/>
        <v>2025</v>
      </c>
      <c r="K25" s="92">
        <f t="shared" si="3"/>
        <v>2026</v>
      </c>
      <c r="L25" s="92">
        <f t="shared" si="3"/>
        <v>2027</v>
      </c>
      <c r="M25" s="92">
        <f t="shared" si="3"/>
        <v>2028</v>
      </c>
      <c r="N25" s="92">
        <f t="shared" si="3"/>
        <v>2029</v>
      </c>
      <c r="O25" s="92">
        <f t="shared" si="3"/>
        <v>2030</v>
      </c>
      <c r="P25" s="92">
        <f t="shared" si="3"/>
        <v>2031</v>
      </c>
      <c r="Q25" s="92">
        <f t="shared" si="3"/>
        <v>2032</v>
      </c>
      <c r="R25" s="92">
        <f t="shared" si="3"/>
        <v>2033</v>
      </c>
      <c r="S25" s="92">
        <f t="shared" si="3"/>
        <v>2034</v>
      </c>
      <c r="T25" s="92">
        <f t="shared" si="3"/>
        <v>2035</v>
      </c>
      <c r="U25" s="92">
        <f t="shared" si="3"/>
        <v>2036</v>
      </c>
      <c r="V25" s="92">
        <f t="shared" si="3"/>
        <v>2037</v>
      </c>
    </row>
    <row r="26" spans="1:22" ht="30" x14ac:dyDescent="0.25">
      <c r="A26" s="93" t="s">
        <v>12</v>
      </c>
      <c r="B26" s="110">
        <f>'Тендерна пропозиція'!B16</f>
        <v>40</v>
      </c>
      <c r="C26" s="110">
        <f>'Тендерна пропозиція'!C16</f>
        <v>365</v>
      </c>
      <c r="D26" s="110">
        <f>'Тендерна пропозиція'!D16</f>
        <v>365</v>
      </c>
      <c r="E26" s="110">
        <f>'Тендерна пропозиція'!E16</f>
        <v>365</v>
      </c>
      <c r="F26" s="110">
        <f>'Тендерна пропозиція'!F16</f>
        <v>365</v>
      </c>
      <c r="G26" s="110">
        <f>'Тендерна пропозиція'!G16</f>
        <v>365</v>
      </c>
      <c r="H26" s="110">
        <f>'Тендерна пропозиція'!H16</f>
        <v>325</v>
      </c>
      <c r="I26" s="110">
        <f>'Тендерна пропозиція'!I16</f>
        <v>0</v>
      </c>
      <c r="J26" s="110">
        <f>'Тендерна пропозиція'!J16</f>
        <v>0</v>
      </c>
      <c r="K26" s="110">
        <f>'Тендерна пропозиція'!K16</f>
        <v>0</v>
      </c>
      <c r="L26" s="110">
        <f>'Тендерна пропозиція'!L16</f>
        <v>0</v>
      </c>
      <c r="M26" s="110">
        <f>'Тендерна пропозиція'!M16</f>
        <v>0</v>
      </c>
      <c r="N26" s="110">
        <f>'Тендерна пропозиція'!N16</f>
        <v>0</v>
      </c>
      <c r="O26" s="110">
        <f>'Тендерна пропозиція'!O16</f>
        <v>0</v>
      </c>
      <c r="P26" s="110">
        <f>'Тендерна пропозиція'!P16</f>
        <v>0</v>
      </c>
      <c r="Q26" s="110"/>
      <c r="R26" s="110"/>
      <c r="S26" s="110"/>
      <c r="T26" s="110"/>
      <c r="U26" s="110"/>
      <c r="V26" s="110"/>
    </row>
    <row r="27" spans="1:22" ht="22.5" x14ac:dyDescent="0.25">
      <c r="A27" s="208" t="s">
        <v>64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</row>
    <row r="28" spans="1:22" ht="30" x14ac:dyDescent="0.25">
      <c r="A28" s="93" t="s">
        <v>76</v>
      </c>
      <c r="B28" s="90" t="e">
        <f t="shared" ref="B28:V28" si="4">B10+$B$20/21</f>
        <v>#REF!</v>
      </c>
      <c r="C28" s="90" t="e">
        <f t="shared" si="4"/>
        <v>#REF!</v>
      </c>
      <c r="D28" s="90" t="e">
        <f t="shared" si="4"/>
        <v>#REF!</v>
      </c>
      <c r="E28" s="90" t="e">
        <f t="shared" si="4"/>
        <v>#REF!</v>
      </c>
      <c r="F28" s="90" t="e">
        <f t="shared" si="4"/>
        <v>#REF!</v>
      </c>
      <c r="G28" s="90" t="e">
        <f t="shared" si="4"/>
        <v>#REF!</v>
      </c>
      <c r="H28" s="90" t="e">
        <f t="shared" si="4"/>
        <v>#REF!</v>
      </c>
      <c r="I28" s="90" t="e">
        <f t="shared" si="4"/>
        <v>#REF!</v>
      </c>
      <c r="J28" s="90" t="e">
        <f t="shared" si="4"/>
        <v>#REF!</v>
      </c>
      <c r="K28" s="90" t="e">
        <f t="shared" si="4"/>
        <v>#REF!</v>
      </c>
      <c r="L28" s="90" t="e">
        <f t="shared" si="4"/>
        <v>#REF!</v>
      </c>
      <c r="M28" s="90" t="e">
        <f t="shared" si="4"/>
        <v>#REF!</v>
      </c>
      <c r="N28" s="90" t="e">
        <f t="shared" si="4"/>
        <v>#REF!</v>
      </c>
      <c r="O28" s="90" t="e">
        <f t="shared" si="4"/>
        <v>#REF!</v>
      </c>
      <c r="P28" s="90" t="e">
        <f t="shared" si="4"/>
        <v>#REF!</v>
      </c>
      <c r="Q28" s="90" t="e">
        <f t="shared" si="4"/>
        <v>#REF!</v>
      </c>
      <c r="R28" s="90" t="e">
        <f t="shared" si="4"/>
        <v>#REF!</v>
      </c>
      <c r="S28" s="90" t="e">
        <f t="shared" si="4"/>
        <v>#REF!</v>
      </c>
      <c r="T28" s="90" t="e">
        <f t="shared" si="4"/>
        <v>#REF!</v>
      </c>
      <c r="U28" s="90" t="e">
        <f t="shared" si="4"/>
        <v>#REF!</v>
      </c>
      <c r="V28" s="90" t="e">
        <f t="shared" si="4"/>
        <v>#REF!</v>
      </c>
    </row>
    <row r="29" spans="1:22" s="91" customFormat="1" ht="30" x14ac:dyDescent="0.25">
      <c r="A29" s="93" t="s">
        <v>77</v>
      </c>
      <c r="B29" s="90" t="e">
        <f t="shared" ref="B29:P29" si="5">IF(B5&gt;0,B6-B28/B7,0)</f>
        <v>#REF!</v>
      </c>
      <c r="C29" s="90" t="e">
        <f t="shared" si="5"/>
        <v>#REF!</v>
      </c>
      <c r="D29" s="90" t="e">
        <f t="shared" si="5"/>
        <v>#REF!</v>
      </c>
      <c r="E29" s="90" t="e">
        <f t="shared" si="5"/>
        <v>#REF!</v>
      </c>
      <c r="F29" s="90" t="e">
        <f t="shared" si="5"/>
        <v>#REF!</v>
      </c>
      <c r="G29" s="90" t="e">
        <f t="shared" si="5"/>
        <v>#REF!</v>
      </c>
      <c r="H29" s="90" t="e">
        <f t="shared" si="5"/>
        <v>#REF!</v>
      </c>
      <c r="I29" s="90">
        <f t="shared" si="5"/>
        <v>0</v>
      </c>
      <c r="J29" s="90">
        <f t="shared" si="5"/>
        <v>0</v>
      </c>
      <c r="K29" s="90">
        <f t="shared" si="5"/>
        <v>0</v>
      </c>
      <c r="L29" s="90">
        <f t="shared" si="5"/>
        <v>0</v>
      </c>
      <c r="M29" s="90">
        <f t="shared" si="5"/>
        <v>0</v>
      </c>
      <c r="N29" s="90">
        <f t="shared" si="5"/>
        <v>0</v>
      </c>
      <c r="O29" s="90">
        <f t="shared" si="5"/>
        <v>0</v>
      </c>
      <c r="P29" s="90">
        <f t="shared" si="5"/>
        <v>0</v>
      </c>
      <c r="Q29" s="90"/>
      <c r="R29" s="90"/>
      <c r="S29" s="90"/>
      <c r="T29" s="90"/>
      <c r="U29" s="90"/>
      <c r="V29" s="90"/>
    </row>
    <row r="30" spans="1:22" s="91" customFormat="1" hidden="1" x14ac:dyDescent="0.25">
      <c r="A30" s="93"/>
      <c r="B30" s="114" t="e">
        <f t="shared" ref="B30:N30" si="6">B29/B6</f>
        <v>#REF!</v>
      </c>
      <c r="C30" s="114" t="e">
        <f t="shared" si="6"/>
        <v>#REF!</v>
      </c>
      <c r="D30" s="114" t="e">
        <f t="shared" si="6"/>
        <v>#REF!</v>
      </c>
      <c r="E30" s="114" t="e">
        <f t="shared" si="6"/>
        <v>#REF!</v>
      </c>
      <c r="F30" s="114" t="e">
        <f t="shared" si="6"/>
        <v>#REF!</v>
      </c>
      <c r="G30" s="115" t="e">
        <f t="shared" si="6"/>
        <v>#REF!</v>
      </c>
      <c r="H30" s="114" t="e">
        <f t="shared" si="6"/>
        <v>#REF!</v>
      </c>
      <c r="I30" s="114">
        <f t="shared" si="6"/>
        <v>0</v>
      </c>
      <c r="J30" s="114">
        <f t="shared" si="6"/>
        <v>0</v>
      </c>
      <c r="K30" s="114">
        <f t="shared" si="6"/>
        <v>0</v>
      </c>
      <c r="L30" s="114">
        <f t="shared" si="6"/>
        <v>0</v>
      </c>
      <c r="M30" s="114">
        <f t="shared" si="6"/>
        <v>0</v>
      </c>
      <c r="N30" s="90">
        <f t="shared" si="6"/>
        <v>0</v>
      </c>
      <c r="O30" s="90"/>
      <c r="P30" s="90"/>
      <c r="Q30" s="90"/>
      <c r="R30" s="90"/>
      <c r="S30" s="90"/>
      <c r="T30" s="90"/>
      <c r="U30" s="90"/>
      <c r="V30" s="90"/>
    </row>
    <row r="31" spans="1:22" ht="22.5" x14ac:dyDescent="0.25">
      <c r="A31" s="208" t="s">
        <v>65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</row>
    <row r="32" spans="1:22" ht="30" x14ac:dyDescent="0.25">
      <c r="A32" s="93" t="s">
        <v>76</v>
      </c>
      <c r="B32" s="90" t="e">
        <f t="shared" ref="B32:V32" si="7">B28+$C$20/21</f>
        <v>#REF!</v>
      </c>
      <c r="C32" s="90" t="e">
        <f t="shared" si="7"/>
        <v>#REF!</v>
      </c>
      <c r="D32" s="90" t="e">
        <f t="shared" si="7"/>
        <v>#REF!</v>
      </c>
      <c r="E32" s="90" t="e">
        <f t="shared" si="7"/>
        <v>#REF!</v>
      </c>
      <c r="F32" s="90" t="e">
        <f t="shared" si="7"/>
        <v>#REF!</v>
      </c>
      <c r="G32" s="90" t="e">
        <f t="shared" si="7"/>
        <v>#REF!</v>
      </c>
      <c r="H32" s="90" t="e">
        <f t="shared" si="7"/>
        <v>#REF!</v>
      </c>
      <c r="I32" s="90" t="e">
        <f t="shared" si="7"/>
        <v>#REF!</v>
      </c>
      <c r="J32" s="90" t="e">
        <f t="shared" si="7"/>
        <v>#REF!</v>
      </c>
      <c r="K32" s="90" t="e">
        <f t="shared" si="7"/>
        <v>#REF!</v>
      </c>
      <c r="L32" s="90" t="e">
        <f t="shared" si="7"/>
        <v>#REF!</v>
      </c>
      <c r="M32" s="90" t="e">
        <f t="shared" si="7"/>
        <v>#REF!</v>
      </c>
      <c r="N32" s="90" t="e">
        <f t="shared" si="7"/>
        <v>#REF!</v>
      </c>
      <c r="O32" s="90" t="e">
        <f t="shared" si="7"/>
        <v>#REF!</v>
      </c>
      <c r="P32" s="90" t="e">
        <f t="shared" si="7"/>
        <v>#REF!</v>
      </c>
      <c r="Q32" s="90" t="e">
        <f t="shared" si="7"/>
        <v>#REF!</v>
      </c>
      <c r="R32" s="90" t="e">
        <f t="shared" si="7"/>
        <v>#REF!</v>
      </c>
      <c r="S32" s="90" t="e">
        <f t="shared" si="7"/>
        <v>#REF!</v>
      </c>
      <c r="T32" s="90" t="e">
        <f t="shared" si="7"/>
        <v>#REF!</v>
      </c>
      <c r="U32" s="90" t="e">
        <f t="shared" si="7"/>
        <v>#REF!</v>
      </c>
      <c r="V32" s="90" t="e">
        <f t="shared" si="7"/>
        <v>#REF!</v>
      </c>
    </row>
    <row r="33" spans="1:22" ht="30" x14ac:dyDescent="0.25">
      <c r="A33" s="93" t="s">
        <v>77</v>
      </c>
      <c r="B33" s="90" t="e">
        <f t="shared" ref="B33:P33" si="8">IF(B5&gt;0,B6-B32/B7,0)</f>
        <v>#REF!</v>
      </c>
      <c r="C33" s="90" t="e">
        <f t="shared" si="8"/>
        <v>#REF!</v>
      </c>
      <c r="D33" s="90" t="e">
        <f t="shared" si="8"/>
        <v>#REF!</v>
      </c>
      <c r="E33" s="90" t="e">
        <f t="shared" si="8"/>
        <v>#REF!</v>
      </c>
      <c r="F33" s="90" t="e">
        <f t="shared" si="8"/>
        <v>#REF!</v>
      </c>
      <c r="G33" s="90" t="e">
        <f t="shared" si="8"/>
        <v>#REF!</v>
      </c>
      <c r="H33" s="90" t="e">
        <f t="shared" si="8"/>
        <v>#REF!</v>
      </c>
      <c r="I33" s="90">
        <f t="shared" si="8"/>
        <v>0</v>
      </c>
      <c r="J33" s="90">
        <f t="shared" si="8"/>
        <v>0</v>
      </c>
      <c r="K33" s="90">
        <f t="shared" si="8"/>
        <v>0</v>
      </c>
      <c r="L33" s="90">
        <f t="shared" si="8"/>
        <v>0</v>
      </c>
      <c r="M33" s="90">
        <f t="shared" si="8"/>
        <v>0</v>
      </c>
      <c r="N33" s="90">
        <f t="shared" si="8"/>
        <v>0</v>
      </c>
      <c r="O33" s="90">
        <f t="shared" si="8"/>
        <v>0</v>
      </c>
      <c r="P33" s="90">
        <f t="shared" si="8"/>
        <v>0</v>
      </c>
      <c r="Q33" s="90"/>
      <c r="R33" s="90"/>
      <c r="S33" s="90"/>
      <c r="T33" s="90"/>
      <c r="U33" s="90"/>
      <c r="V33" s="90"/>
    </row>
    <row r="34" spans="1:22" hidden="1" x14ac:dyDescent="0.25">
      <c r="A34" s="93"/>
      <c r="B34" s="114" t="e">
        <f t="shared" ref="B34:N34" si="9">B33/B6</f>
        <v>#REF!</v>
      </c>
      <c r="C34" s="114" t="e">
        <f t="shared" si="9"/>
        <v>#REF!</v>
      </c>
      <c r="D34" s="114" t="e">
        <f t="shared" si="9"/>
        <v>#REF!</v>
      </c>
      <c r="E34" s="114" t="e">
        <f t="shared" si="9"/>
        <v>#REF!</v>
      </c>
      <c r="F34" s="114" t="e">
        <f t="shared" si="9"/>
        <v>#REF!</v>
      </c>
      <c r="G34" s="114" t="e">
        <f t="shared" si="9"/>
        <v>#REF!</v>
      </c>
      <c r="H34" s="114" t="e">
        <f t="shared" si="9"/>
        <v>#REF!</v>
      </c>
      <c r="I34" s="114">
        <f t="shared" si="9"/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14">
        <f t="shared" si="9"/>
        <v>0</v>
      </c>
      <c r="O34" s="90"/>
      <c r="P34" s="90"/>
      <c r="Q34" s="90"/>
      <c r="R34" s="90"/>
      <c r="S34" s="90"/>
      <c r="T34" s="90"/>
      <c r="U34" s="90"/>
      <c r="V34" s="90"/>
    </row>
    <row r="35" spans="1:22" ht="22.5" x14ac:dyDescent="0.25">
      <c r="A35" s="208" t="s">
        <v>66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</row>
    <row r="36" spans="1:22" ht="30" x14ac:dyDescent="0.25">
      <c r="A36" s="93" t="s">
        <v>76</v>
      </c>
      <c r="B36" s="90" t="e">
        <f>B32+$D$20/21</f>
        <v>#REF!</v>
      </c>
      <c r="C36" s="90" t="e">
        <f t="shared" ref="C36:V36" si="10">C32+$D$20/21</f>
        <v>#REF!</v>
      </c>
      <c r="D36" s="90" t="e">
        <f t="shared" si="10"/>
        <v>#REF!</v>
      </c>
      <c r="E36" s="90" t="e">
        <f t="shared" si="10"/>
        <v>#REF!</v>
      </c>
      <c r="F36" s="90" t="e">
        <f t="shared" si="10"/>
        <v>#REF!</v>
      </c>
      <c r="G36" s="90" t="e">
        <f t="shared" si="10"/>
        <v>#REF!</v>
      </c>
      <c r="H36" s="90" t="e">
        <f t="shared" si="10"/>
        <v>#REF!</v>
      </c>
      <c r="I36" s="90" t="e">
        <f t="shared" si="10"/>
        <v>#REF!</v>
      </c>
      <c r="J36" s="90" t="e">
        <f t="shared" si="10"/>
        <v>#REF!</v>
      </c>
      <c r="K36" s="90" t="e">
        <f t="shared" si="10"/>
        <v>#REF!</v>
      </c>
      <c r="L36" s="90" t="e">
        <f t="shared" si="10"/>
        <v>#REF!</v>
      </c>
      <c r="M36" s="90" t="e">
        <f t="shared" si="10"/>
        <v>#REF!</v>
      </c>
      <c r="N36" s="90" t="e">
        <f t="shared" si="10"/>
        <v>#REF!</v>
      </c>
      <c r="O36" s="90" t="e">
        <f t="shared" si="10"/>
        <v>#REF!</v>
      </c>
      <c r="P36" s="90" t="e">
        <f t="shared" si="10"/>
        <v>#REF!</v>
      </c>
      <c r="Q36" s="90" t="e">
        <f t="shared" si="10"/>
        <v>#REF!</v>
      </c>
      <c r="R36" s="90" t="e">
        <f t="shared" si="10"/>
        <v>#REF!</v>
      </c>
      <c r="S36" s="90" t="e">
        <f t="shared" si="10"/>
        <v>#REF!</v>
      </c>
      <c r="T36" s="90" t="e">
        <f t="shared" si="10"/>
        <v>#REF!</v>
      </c>
      <c r="U36" s="90" t="e">
        <f t="shared" si="10"/>
        <v>#REF!</v>
      </c>
      <c r="V36" s="90" t="e">
        <f t="shared" si="10"/>
        <v>#REF!</v>
      </c>
    </row>
    <row r="37" spans="1:22" ht="30" x14ac:dyDescent="0.25">
      <c r="A37" s="93" t="s">
        <v>77</v>
      </c>
      <c r="B37" s="90" t="e">
        <f t="shared" ref="B37:P37" si="11">IF(B5&gt;0,B6-B36/B7,0)</f>
        <v>#REF!</v>
      </c>
      <c r="C37" s="90" t="e">
        <f t="shared" si="11"/>
        <v>#REF!</v>
      </c>
      <c r="D37" s="90" t="e">
        <f t="shared" si="11"/>
        <v>#REF!</v>
      </c>
      <c r="E37" s="90" t="e">
        <f t="shared" si="11"/>
        <v>#REF!</v>
      </c>
      <c r="F37" s="90" t="e">
        <f t="shared" si="11"/>
        <v>#REF!</v>
      </c>
      <c r="G37" s="90" t="e">
        <f t="shared" si="11"/>
        <v>#REF!</v>
      </c>
      <c r="H37" s="90" t="e">
        <f t="shared" si="11"/>
        <v>#REF!</v>
      </c>
      <c r="I37" s="90">
        <f t="shared" si="11"/>
        <v>0</v>
      </c>
      <c r="J37" s="90">
        <f t="shared" si="11"/>
        <v>0</v>
      </c>
      <c r="K37" s="90">
        <f t="shared" si="11"/>
        <v>0</v>
      </c>
      <c r="L37" s="90">
        <f t="shared" si="11"/>
        <v>0</v>
      </c>
      <c r="M37" s="90">
        <f t="shared" si="11"/>
        <v>0</v>
      </c>
      <c r="N37" s="90">
        <f t="shared" si="11"/>
        <v>0</v>
      </c>
      <c r="O37" s="90">
        <f t="shared" si="11"/>
        <v>0</v>
      </c>
      <c r="P37" s="90">
        <f t="shared" si="11"/>
        <v>0</v>
      </c>
      <c r="Q37" s="90"/>
      <c r="R37" s="90"/>
      <c r="S37" s="90"/>
      <c r="T37" s="90"/>
      <c r="U37" s="90"/>
      <c r="V37" s="90"/>
    </row>
    <row r="38" spans="1:22" hidden="1" x14ac:dyDescent="0.25">
      <c r="B38" s="89" t="e">
        <f t="shared" ref="B38:N38" si="12">B37/B6</f>
        <v>#REF!</v>
      </c>
      <c r="C38" s="89" t="e">
        <f t="shared" si="12"/>
        <v>#REF!</v>
      </c>
      <c r="D38" s="89" t="e">
        <f t="shared" si="12"/>
        <v>#REF!</v>
      </c>
      <c r="E38" s="89" t="e">
        <f t="shared" si="12"/>
        <v>#REF!</v>
      </c>
      <c r="F38" s="89" t="e">
        <f t="shared" si="12"/>
        <v>#REF!</v>
      </c>
      <c r="G38" s="89" t="e">
        <f t="shared" si="12"/>
        <v>#REF!</v>
      </c>
      <c r="H38" s="89" t="e">
        <f t="shared" si="12"/>
        <v>#REF!</v>
      </c>
      <c r="I38" s="89">
        <f t="shared" si="12"/>
        <v>0</v>
      </c>
      <c r="J38" s="89">
        <f t="shared" si="12"/>
        <v>0</v>
      </c>
      <c r="K38" s="89">
        <f t="shared" si="12"/>
        <v>0</v>
      </c>
      <c r="L38" s="89">
        <f t="shared" si="12"/>
        <v>0</v>
      </c>
      <c r="M38" s="89">
        <f t="shared" si="12"/>
        <v>0</v>
      </c>
      <c r="N38" s="89">
        <f t="shared" si="12"/>
        <v>0</v>
      </c>
    </row>
    <row r="990" ht="15" customHeight="1" x14ac:dyDescent="0.25"/>
  </sheetData>
  <mergeCells count="4">
    <mergeCell ref="A1:V1"/>
    <mergeCell ref="A27:V27"/>
    <mergeCell ref="A31:V31"/>
    <mergeCell ref="A35:V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60"/>
  <sheetViews>
    <sheetView showGridLines="0" topLeftCell="A13" zoomScale="60" zoomScaleNormal="60" workbookViewId="0">
      <selection activeCell="D48" sqref="D48"/>
    </sheetView>
  </sheetViews>
  <sheetFormatPr defaultColWidth="11.5703125" defaultRowHeight="15" x14ac:dyDescent="0.25"/>
  <cols>
    <col min="1" max="1" width="11.5703125" style="89"/>
    <col min="2" max="2" width="8" style="89" customWidth="1"/>
    <col min="3" max="3" width="35.7109375" style="89" customWidth="1"/>
    <col min="4" max="4" width="41.140625" customWidth="1"/>
    <col min="5" max="5" width="32.7109375" customWidth="1"/>
    <col min="6" max="6" width="25.85546875" bestFit="1" customWidth="1"/>
    <col min="7" max="7" width="24.140625" customWidth="1"/>
  </cols>
  <sheetData>
    <row r="1" spans="2:18" s="89" customFormat="1" x14ac:dyDescent="0.25"/>
    <row r="2" spans="2:18" s="89" customFormat="1" ht="21.6" customHeight="1" x14ac:dyDescent="0.4">
      <c r="C2" s="215" t="s">
        <v>86</v>
      </c>
      <c r="D2" s="215"/>
      <c r="E2" s="215"/>
      <c r="F2" s="215"/>
    </row>
    <row r="3" spans="2:18" s="89" customFormat="1" ht="16.899999999999999" customHeight="1" x14ac:dyDescent="0.25"/>
    <row r="4" spans="2:18" ht="21" x14ac:dyDescent="0.35">
      <c r="C4" s="210" t="s">
        <v>70</v>
      </c>
      <c r="D4" s="210"/>
      <c r="E4" s="210"/>
      <c r="F4" s="210"/>
      <c r="G4" s="89"/>
    </row>
    <row r="5" spans="2:18" ht="126" x14ac:dyDescent="0.35">
      <c r="C5" s="126" t="s">
        <v>32</v>
      </c>
      <c r="D5" s="126" t="s">
        <v>67</v>
      </c>
      <c r="E5" s="127" t="s">
        <v>97</v>
      </c>
      <c r="F5" s="128" t="s">
        <v>98</v>
      </c>
      <c r="G5" s="97"/>
    </row>
    <row r="6" spans="2:18" ht="28.5" x14ac:dyDescent="0.45">
      <c r="C6" s="183">
        <f>'Оголошення закупівлі'!B13</f>
        <v>0.02</v>
      </c>
      <c r="D6" s="145">
        <f>yearlyPaymentsPercentage</f>
        <v>0.91</v>
      </c>
      <c r="E6" s="146">
        <f>'Тендерна пропозиція'!W17</f>
        <v>741637.22746831016</v>
      </c>
      <c r="F6" s="180">
        <f>'Тендерна пропозиція'!W19</f>
        <v>473615.27588863642</v>
      </c>
      <c r="G6" s="97"/>
    </row>
    <row r="7" spans="2:18" s="89" customFormat="1" ht="21" x14ac:dyDescent="0.35">
      <c r="C7" s="129"/>
      <c r="D7" s="130"/>
      <c r="E7" s="131"/>
      <c r="F7" s="131"/>
      <c r="G7" s="97"/>
    </row>
    <row r="8" spans="2:18" s="89" customFormat="1" ht="26.25" x14ac:dyDescent="0.4">
      <c r="B8" s="152" t="s">
        <v>90</v>
      </c>
      <c r="C8" s="129"/>
      <c r="D8" s="130"/>
      <c r="E8" s="131"/>
      <c r="F8" s="131"/>
      <c r="G8" s="97"/>
    </row>
    <row r="9" spans="2:18" s="89" customFormat="1" ht="51.6" customHeight="1" x14ac:dyDescent="0.25">
      <c r="B9" s="213" t="s">
        <v>94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2:18" s="89" customFormat="1" ht="55.9" customHeight="1" x14ac:dyDescent="0.25">
      <c r="B10" s="213" t="s">
        <v>91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2:18" s="89" customFormat="1" ht="27.6" customHeight="1" x14ac:dyDescent="0.25">
      <c r="B11" s="213" t="s">
        <v>92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2" spans="2:18" s="89" customFormat="1" ht="50.45" customHeight="1" x14ac:dyDescent="0.25">
      <c r="B12" s="213" t="s">
        <v>93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2:18" s="89" customFormat="1" ht="21.75" thickBot="1" x14ac:dyDescent="0.4">
      <c r="C13" s="129"/>
      <c r="D13" s="130"/>
      <c r="E13" s="131"/>
      <c r="F13" s="131"/>
      <c r="G13" s="97"/>
    </row>
    <row r="14" spans="2:18" s="89" customFormat="1" ht="61.5" x14ac:dyDescent="0.9">
      <c r="B14" s="156"/>
      <c r="C14" s="151" t="s">
        <v>81</v>
      </c>
      <c r="D14" s="135"/>
      <c r="E14" s="136"/>
      <c r="F14" s="135"/>
      <c r="G14" s="135"/>
      <c r="H14" s="137"/>
      <c r="I14" s="137"/>
      <c r="J14" s="137"/>
      <c r="K14" s="137"/>
      <c r="L14" s="137"/>
      <c r="M14" s="138"/>
      <c r="N14" s="35"/>
      <c r="O14" s="35"/>
      <c r="P14" s="35"/>
      <c r="Q14" s="35" t="s">
        <v>96</v>
      </c>
      <c r="R14" s="35"/>
    </row>
    <row r="15" spans="2:18" s="89" customFormat="1" ht="57" customHeight="1" x14ac:dyDescent="0.4">
      <c r="B15" s="140"/>
      <c r="C15" s="214" t="s">
        <v>107</v>
      </c>
      <c r="D15" s="214"/>
      <c r="E15" s="214"/>
      <c r="F15" s="214"/>
      <c r="G15" s="214"/>
      <c r="H15" s="214"/>
      <c r="I15" s="214"/>
      <c r="J15" s="214"/>
      <c r="K15" s="214"/>
      <c r="L15" s="214"/>
      <c r="M15" s="139"/>
      <c r="N15" s="35"/>
      <c r="O15" s="35"/>
      <c r="P15" s="35"/>
      <c r="Q15" s="35"/>
      <c r="R15" s="35"/>
    </row>
    <row r="16" spans="2:18" s="89" customFormat="1" ht="16.899999999999999" customHeight="1" thickBot="1" x14ac:dyDescent="0.45">
      <c r="B16" s="140"/>
      <c r="C16" s="152"/>
      <c r="D16" s="35"/>
      <c r="E16" s="35"/>
      <c r="F16" s="133"/>
      <c r="G16" s="133"/>
      <c r="H16" s="35"/>
      <c r="I16" s="35"/>
      <c r="J16" s="35"/>
      <c r="K16" s="35"/>
      <c r="L16" s="35"/>
      <c r="M16" s="139"/>
      <c r="N16" s="35"/>
      <c r="O16" s="35"/>
      <c r="P16" s="35"/>
      <c r="Q16" s="35"/>
      <c r="R16" s="35"/>
    </row>
    <row r="17" spans="2:18" s="89" customFormat="1" ht="47.25" thickBot="1" x14ac:dyDescent="0.3">
      <c r="B17" s="140"/>
      <c r="C17" s="132"/>
      <c r="D17" s="155" t="s">
        <v>99</v>
      </c>
      <c r="E17" s="213"/>
      <c r="F17" s="213"/>
      <c r="G17" s="179"/>
      <c r="H17" s="155"/>
      <c r="I17" s="35"/>
      <c r="J17" s="35"/>
      <c r="K17" s="35"/>
      <c r="L17" s="35"/>
      <c r="M17" s="139"/>
      <c r="N17" s="35"/>
      <c r="O17" s="35"/>
      <c r="P17" s="35"/>
      <c r="Q17" s="35"/>
      <c r="R17" s="35"/>
    </row>
    <row r="18" spans="2:18" s="89" customFormat="1" ht="21" x14ac:dyDescent="0.35">
      <c r="B18" s="140"/>
      <c r="C18" s="35"/>
      <c r="D18" s="133"/>
      <c r="E18" s="134"/>
      <c r="F18" s="133"/>
      <c r="G18" s="133"/>
      <c r="H18" s="35"/>
      <c r="I18" s="35"/>
      <c r="J18" s="35"/>
      <c r="K18" s="35"/>
      <c r="L18" s="35"/>
      <c r="M18" s="139"/>
      <c r="N18" s="35"/>
      <c r="O18" s="35"/>
      <c r="P18" s="35"/>
      <c r="Q18" s="35"/>
      <c r="R18" s="35"/>
    </row>
    <row r="19" spans="2:18" s="89" customFormat="1" ht="26.25" x14ac:dyDescent="0.4">
      <c r="B19" s="140"/>
      <c r="C19" s="152" t="s">
        <v>87</v>
      </c>
      <c r="D19" s="133"/>
      <c r="E19" s="134"/>
      <c r="F19" s="133"/>
      <c r="G19" s="133"/>
      <c r="H19" s="35"/>
      <c r="I19" s="35"/>
      <c r="J19" s="35"/>
      <c r="K19" s="35"/>
      <c r="L19" s="35"/>
      <c r="M19" s="139"/>
      <c r="N19" s="35"/>
      <c r="O19" s="35"/>
      <c r="P19" s="35"/>
      <c r="Q19" s="35"/>
      <c r="R19" s="35"/>
    </row>
    <row r="20" spans="2:18" s="89" customFormat="1" ht="26.25" x14ac:dyDescent="0.4">
      <c r="B20" s="140"/>
      <c r="C20" s="152" t="s">
        <v>80</v>
      </c>
      <c r="D20" s="133"/>
      <c r="E20" s="134"/>
      <c r="F20" s="133"/>
      <c r="G20" s="133"/>
      <c r="H20" s="35"/>
      <c r="I20" s="35"/>
      <c r="J20" s="35"/>
      <c r="K20" s="35"/>
      <c r="L20" s="35"/>
      <c r="M20" s="139"/>
      <c r="N20" s="35"/>
      <c r="O20" s="35"/>
      <c r="P20" s="35"/>
      <c r="Q20" s="35"/>
      <c r="R20" s="35"/>
    </row>
    <row r="21" spans="2:18" s="89" customFormat="1" ht="16.899999999999999" customHeight="1" x14ac:dyDescent="0.4">
      <c r="B21" s="140"/>
      <c r="C21" s="152"/>
      <c r="D21" s="133"/>
      <c r="E21" s="134"/>
      <c r="F21" s="133"/>
      <c r="G21" s="133"/>
      <c r="H21" s="35"/>
      <c r="I21" s="35"/>
      <c r="J21" s="35"/>
      <c r="K21" s="35"/>
      <c r="L21" s="35"/>
      <c r="M21" s="139"/>
      <c r="N21" s="35"/>
      <c r="O21" s="35"/>
      <c r="P21" s="35"/>
      <c r="Q21" s="35"/>
      <c r="R21" s="35"/>
    </row>
    <row r="22" spans="2:18" s="89" customFormat="1" ht="21" x14ac:dyDescent="0.35">
      <c r="B22" s="140"/>
      <c r="C22" s="211" t="s">
        <v>79</v>
      </c>
      <c r="D22" s="212"/>
      <c r="E22" s="212"/>
      <c r="F22" s="133"/>
      <c r="G22" s="133"/>
      <c r="H22" s="35"/>
      <c r="I22" s="35"/>
      <c r="J22" s="35"/>
      <c r="K22" s="35"/>
      <c r="L22" s="35"/>
      <c r="M22" s="139"/>
      <c r="N22" s="35"/>
      <c r="O22" s="35"/>
      <c r="P22" s="35"/>
      <c r="Q22" s="35"/>
      <c r="R22" s="35"/>
    </row>
    <row r="23" spans="2:18" ht="93.75" thickBot="1" x14ac:dyDescent="0.4">
      <c r="B23" s="140"/>
      <c r="C23" s="160" t="s">
        <v>68</v>
      </c>
      <c r="D23" s="161" t="s">
        <v>100</v>
      </c>
      <c r="E23" s="161" t="s">
        <v>101</v>
      </c>
      <c r="F23" s="133"/>
      <c r="G23" s="35"/>
      <c r="H23" s="35"/>
      <c r="I23" s="35"/>
      <c r="J23" s="35"/>
      <c r="K23" s="35"/>
      <c r="L23" s="35"/>
      <c r="M23" s="139"/>
      <c r="N23" s="35"/>
      <c r="O23" s="35"/>
      <c r="P23" s="35"/>
      <c r="Q23" s="35"/>
      <c r="R23" s="35"/>
    </row>
    <row r="24" spans="2:18" ht="47.25" thickBot="1" x14ac:dyDescent="0.75">
      <c r="B24" s="140"/>
      <c r="C24" s="166">
        <v>0.97</v>
      </c>
      <c r="D24" s="158">
        <f>Sheet3!W17</f>
        <v>790536.38532336371</v>
      </c>
      <c r="E24" s="159">
        <f>Sheet3!W19</f>
        <v>442554.92213645339</v>
      </c>
      <c r="F24" s="133"/>
      <c r="G24" s="35"/>
      <c r="H24" s="35"/>
      <c r="I24" s="35"/>
      <c r="J24" s="35"/>
      <c r="K24" s="35"/>
      <c r="L24" s="35"/>
      <c r="M24" s="139"/>
      <c r="N24" s="35"/>
      <c r="O24" s="35"/>
      <c r="P24" s="35"/>
      <c r="Q24" s="35"/>
      <c r="R24" s="35"/>
    </row>
    <row r="25" spans="2:18" s="89" customFormat="1" ht="21" x14ac:dyDescent="0.35">
      <c r="B25" s="140"/>
      <c r="C25" s="153"/>
      <c r="D25" s="124"/>
      <c r="E25" s="125"/>
      <c r="F25" s="133"/>
      <c r="G25" s="35"/>
      <c r="H25" s="35"/>
      <c r="I25" s="35"/>
      <c r="J25" s="35"/>
      <c r="K25" s="35"/>
      <c r="L25" s="35"/>
      <c r="M25" s="139"/>
      <c r="N25" s="35"/>
      <c r="O25" s="35"/>
      <c r="P25" s="35"/>
      <c r="Q25" s="35"/>
      <c r="R25" s="35"/>
    </row>
    <row r="26" spans="2:18" s="89" customFormat="1" ht="60" customHeight="1" x14ac:dyDescent="0.4">
      <c r="B26" s="140"/>
      <c r="C26" s="209" t="str">
        <f>IF(C24&gt;D6,CONCATENATE("Оберіть менше значення! Воно має бути в діапазоні ",'Оголошення закупівлі'!$B$11*100,"% - ",D6*100,"% (до трьох знаків після коми)."),IF(C24=D6,CONCATENATE("Ви не здійснюєте крок! Якщо бажаєте здійснити крок, зменшіть значення - воно має бути в діапазоні ",'Оголошення закупівлі'!$B$11*100,"% - ",D6*100,"% (до трьох знаків після коми)."),IF(C24="",CONCATENATE("Введіть значення! Воно має бути в діапазоні ",'Оголошення закупівлі'!$B$11*100,"% - ",D6*100,"% (до трьох знаків після коми)."),IF(C24&lt;'Оголошення закупівлі'!$B$11,CONCATENATE("Збільшіть значення! Воно має бути в діапазоні ",'Оголошення закупівлі'!$B$11*100,"% - ",D6*100,"% (до трьох знаків після коми)."),(IF((OR(((E24-F6)/F6)&lt;$C$6,E24&lt;C17)),CONCATENATE("Ще трохи зменшіть значення! (не нижче ",'Оголошення закупівлі'!$B$11*100,"%)"),"Обране значення підходить! Введіть його в систему."))))))</f>
        <v>Оберіть менше значення! Воно має бути в діапазоні 80% - 91% (до трьох знаків після коми).</v>
      </c>
      <c r="D26" s="209"/>
      <c r="E26" s="209"/>
      <c r="F26" s="209"/>
      <c r="G26" s="209"/>
      <c r="H26" s="209"/>
      <c r="I26" s="209"/>
      <c r="J26" s="209"/>
      <c r="K26" s="209"/>
      <c r="L26" s="209"/>
      <c r="M26" s="139"/>
      <c r="N26" s="35"/>
      <c r="O26" s="35"/>
      <c r="P26" s="35"/>
      <c r="Q26" s="35"/>
      <c r="R26" s="35"/>
    </row>
    <row r="27" spans="2:18" s="89" customFormat="1" ht="21.75" thickBot="1" x14ac:dyDescent="0.4">
      <c r="B27" s="157"/>
      <c r="C27" s="154"/>
      <c r="D27" s="141"/>
      <c r="E27" s="142"/>
      <c r="F27" s="142"/>
      <c r="G27" s="143"/>
      <c r="H27" s="143"/>
      <c r="I27" s="143"/>
      <c r="J27" s="143"/>
      <c r="K27" s="143"/>
      <c r="L27" s="143"/>
      <c r="M27" s="144"/>
      <c r="N27" s="35"/>
      <c r="O27" s="35"/>
      <c r="P27" s="35"/>
      <c r="Q27" s="35"/>
      <c r="R27" s="35"/>
    </row>
    <row r="28" spans="2:18" s="105" customFormat="1" ht="21.75" thickBot="1" x14ac:dyDescent="0.4">
      <c r="C28" s="147"/>
      <c r="D28" s="148"/>
      <c r="E28" s="149"/>
      <c r="F28" s="149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</row>
    <row r="29" spans="2:18" s="89" customFormat="1" ht="61.5" x14ac:dyDescent="0.9">
      <c r="B29" s="156"/>
      <c r="C29" s="151" t="s">
        <v>82</v>
      </c>
      <c r="D29" s="136"/>
      <c r="E29" s="135"/>
      <c r="F29" s="135"/>
      <c r="G29" s="137"/>
      <c r="H29" s="137"/>
      <c r="I29" s="137"/>
      <c r="J29" s="137"/>
      <c r="K29" s="137"/>
      <c r="L29" s="137"/>
      <c r="M29" s="138"/>
      <c r="N29" s="35"/>
      <c r="O29" s="35"/>
      <c r="P29" s="35"/>
      <c r="Q29" s="35"/>
      <c r="R29" s="35"/>
    </row>
    <row r="30" spans="2:18" s="89" customFormat="1" ht="51" customHeight="1" x14ac:dyDescent="0.4">
      <c r="B30" s="140"/>
      <c r="C30" s="214" t="s">
        <v>108</v>
      </c>
      <c r="D30" s="214"/>
      <c r="E30" s="214"/>
      <c r="F30" s="214"/>
      <c r="G30" s="214"/>
      <c r="H30" s="214"/>
      <c r="I30" s="214"/>
      <c r="J30" s="214"/>
      <c r="K30" s="214"/>
      <c r="L30" s="214"/>
      <c r="M30" s="139"/>
      <c r="N30" s="35"/>
      <c r="O30" s="35"/>
      <c r="P30" s="35"/>
      <c r="Q30" s="35"/>
      <c r="R30" s="35"/>
    </row>
    <row r="31" spans="2:18" s="89" customFormat="1" ht="23.45" customHeight="1" thickBot="1" x14ac:dyDescent="0.45">
      <c r="B31" s="140"/>
      <c r="C31" s="152"/>
      <c r="D31" s="35"/>
      <c r="E31" s="35"/>
      <c r="F31" s="133"/>
      <c r="G31" s="35"/>
      <c r="H31" s="35"/>
      <c r="I31" s="35"/>
      <c r="J31" s="35"/>
      <c r="K31" s="35"/>
      <c r="L31" s="35"/>
      <c r="M31" s="139"/>
      <c r="N31" s="35"/>
      <c r="O31" s="35"/>
      <c r="P31" s="35"/>
      <c r="Q31" s="35"/>
      <c r="R31" s="35"/>
    </row>
    <row r="32" spans="2:18" s="89" customFormat="1" ht="47.25" thickBot="1" x14ac:dyDescent="0.3">
      <c r="B32" s="140"/>
      <c r="C32" s="132" t="s">
        <v>95</v>
      </c>
      <c r="D32" s="155" t="s">
        <v>99</v>
      </c>
      <c r="E32" s="213"/>
      <c r="F32" s="213"/>
      <c r="G32" s="179"/>
      <c r="H32" s="155"/>
      <c r="I32" s="35"/>
      <c r="J32" s="35"/>
      <c r="K32" s="35"/>
      <c r="L32" s="35"/>
      <c r="M32" s="139"/>
      <c r="N32" s="35"/>
      <c r="O32" s="35"/>
      <c r="P32" s="35"/>
      <c r="Q32" s="35"/>
      <c r="R32" s="35"/>
    </row>
    <row r="33" spans="2:18" s="89" customFormat="1" ht="21" x14ac:dyDescent="0.35">
      <c r="B33" s="140"/>
      <c r="C33" s="35"/>
      <c r="D33" s="133"/>
      <c r="E33" s="134"/>
      <c r="F33" s="133"/>
      <c r="G33" s="35"/>
      <c r="H33" s="35"/>
      <c r="I33" s="35"/>
      <c r="J33" s="35"/>
      <c r="K33" s="35"/>
      <c r="L33" s="35"/>
      <c r="M33" s="139"/>
      <c r="N33" s="35"/>
      <c r="O33" s="35"/>
      <c r="P33" s="35"/>
      <c r="Q33" s="35"/>
      <c r="R33" s="35"/>
    </row>
    <row r="34" spans="2:18" s="89" customFormat="1" ht="26.25" x14ac:dyDescent="0.4">
      <c r="B34" s="140"/>
      <c r="C34" s="152" t="s">
        <v>83</v>
      </c>
      <c r="D34" s="133"/>
      <c r="E34" s="134"/>
      <c r="F34" s="133"/>
      <c r="G34" s="35"/>
      <c r="H34" s="35"/>
      <c r="I34" s="35"/>
      <c r="J34" s="35"/>
      <c r="K34" s="35"/>
      <c r="L34" s="35"/>
      <c r="M34" s="139"/>
      <c r="N34" s="35"/>
      <c r="O34" s="35"/>
      <c r="P34" s="35"/>
      <c r="Q34" s="35"/>
      <c r="R34" s="35"/>
    </row>
    <row r="35" spans="2:18" s="89" customFormat="1" ht="26.25" x14ac:dyDescent="0.4">
      <c r="B35" s="140"/>
      <c r="C35" s="152" t="s">
        <v>80</v>
      </c>
      <c r="D35" s="133"/>
      <c r="E35" s="134"/>
      <c r="F35" s="133"/>
      <c r="G35" s="35"/>
      <c r="H35" s="35"/>
      <c r="I35" s="35"/>
      <c r="J35" s="35"/>
      <c r="K35" s="35"/>
      <c r="L35" s="35"/>
      <c r="M35" s="139"/>
      <c r="N35" s="35"/>
      <c r="O35" s="35"/>
      <c r="P35" s="35"/>
      <c r="Q35" s="35"/>
      <c r="R35" s="35"/>
    </row>
    <row r="36" spans="2:18" s="89" customFormat="1" ht="26.25" x14ac:dyDescent="0.4">
      <c r="B36" s="140"/>
      <c r="C36" s="152"/>
      <c r="D36" s="133"/>
      <c r="E36" s="134"/>
      <c r="F36" s="133"/>
      <c r="G36" s="35"/>
      <c r="H36" s="35"/>
      <c r="I36" s="35"/>
      <c r="J36" s="35"/>
      <c r="K36" s="35"/>
      <c r="L36" s="35"/>
      <c r="M36" s="139"/>
      <c r="N36" s="35"/>
      <c r="O36" s="35"/>
      <c r="P36" s="35"/>
      <c r="Q36" s="35"/>
      <c r="R36" s="35"/>
    </row>
    <row r="37" spans="2:18" s="89" customFormat="1" ht="21" x14ac:dyDescent="0.35">
      <c r="B37" s="140"/>
      <c r="C37" s="211" t="s">
        <v>79</v>
      </c>
      <c r="D37" s="212"/>
      <c r="E37" s="212"/>
      <c r="F37" s="133"/>
      <c r="G37" s="35"/>
      <c r="H37" s="35"/>
      <c r="I37" s="35"/>
      <c r="J37" s="35"/>
      <c r="K37" s="35"/>
      <c r="L37" s="35"/>
      <c r="M37" s="139"/>
      <c r="N37" s="35"/>
      <c r="O37" s="35"/>
      <c r="P37" s="35"/>
      <c r="Q37" s="35"/>
      <c r="R37" s="35"/>
    </row>
    <row r="38" spans="2:18" s="89" customFormat="1" ht="93.75" thickBot="1" x14ac:dyDescent="0.4">
      <c r="B38" s="140"/>
      <c r="C38" s="160" t="s">
        <v>68</v>
      </c>
      <c r="D38" s="161" t="s">
        <v>102</v>
      </c>
      <c r="E38" s="161" t="s">
        <v>103</v>
      </c>
      <c r="F38" s="133"/>
      <c r="G38" s="35"/>
      <c r="H38" s="35"/>
      <c r="I38" s="35"/>
      <c r="J38" s="35"/>
      <c r="K38" s="35"/>
      <c r="L38" s="35"/>
      <c r="M38" s="139"/>
      <c r="N38" s="35"/>
      <c r="O38" s="35"/>
      <c r="P38" s="35"/>
      <c r="Q38" s="35"/>
      <c r="R38" s="35"/>
    </row>
    <row r="39" spans="2:18" s="89" customFormat="1" ht="47.25" thickBot="1" x14ac:dyDescent="0.75">
      <c r="B39" s="140"/>
      <c r="C39" s="166">
        <v>0.95</v>
      </c>
      <c r="D39" s="158">
        <f>Sheet3!W38</f>
        <v>774236.66603834578</v>
      </c>
      <c r="E39" s="158">
        <f>Sheet3!W40</f>
        <v>452908.37338718114</v>
      </c>
      <c r="F39" s="133"/>
      <c r="G39" s="35"/>
      <c r="H39" s="35"/>
      <c r="I39" s="35"/>
      <c r="J39" s="35"/>
      <c r="K39" s="35"/>
      <c r="L39" s="35"/>
      <c r="M39" s="139"/>
      <c r="N39" s="35"/>
      <c r="O39" s="35"/>
      <c r="P39" s="35"/>
      <c r="Q39" s="35"/>
      <c r="R39" s="35"/>
    </row>
    <row r="40" spans="2:18" s="89" customFormat="1" ht="21" x14ac:dyDescent="0.35">
      <c r="B40" s="140"/>
      <c r="C40" s="153"/>
      <c r="D40" s="124"/>
      <c r="E40" s="125"/>
      <c r="F40" s="133"/>
      <c r="G40" s="35"/>
      <c r="H40" s="35"/>
      <c r="I40" s="35"/>
      <c r="J40" s="35"/>
      <c r="K40" s="35"/>
      <c r="L40" s="35"/>
      <c r="M40" s="139"/>
      <c r="N40" s="35"/>
      <c r="O40" s="35"/>
      <c r="P40" s="35"/>
      <c r="Q40" s="35"/>
      <c r="R40" s="35"/>
    </row>
    <row r="41" spans="2:18" s="89" customFormat="1" ht="57" customHeight="1" x14ac:dyDescent="0.4">
      <c r="B41" s="140"/>
      <c r="C41" s="209" t="str">
        <f>IF(C39&gt;C24,CONCATENATE("Оберіть менше значення! Воно має бути в діапазоні ",'Оголошення закупівлі'!$B$11*100,"% - ",C24*100,"% (до трьох знаків після коми)."),IF(C39=C24,CONCATENATE("Ви не здійснюєте крок! Якщо бажаєте здійснити крок, зменшіть значення - воно має бути в діапазоні ",'Оголошення закупівлі'!$B$11*100,"% - ",C24*100,"% (до трьох знаків після коми)."),IF(C39="",CONCATENATE("Введіть значення! Воно має бути в діапазоні ",'Оголошення закупівлі'!$B$11*100,"% - ",C24*100,"% (до трьох знаків після коми)."),IF(C39&lt;'Оголошення закупівлі'!$B$11,CONCATENATE("Збільшіть значення! Воно має бути в діапазоні ",'Оголошення закупівлі'!$B$11*100,"% - ",C24*100,"% (до трьох знаків після коми)."),(IF((OR(((E39-E24)/E24)&lt;$C$6,E39&lt;C32)),CONCATENATE("Ще трохи зменшіть значення! (не нижче ",'Оголошення закупівлі'!$B$11*100,"%)"),"Обране значення підходить! Введіть його в систему."))))))</f>
        <v>Ще трохи зменшіть значення! (не нижче 80%)</v>
      </c>
      <c r="D41" s="209"/>
      <c r="E41" s="209"/>
      <c r="F41" s="209"/>
      <c r="G41" s="209"/>
      <c r="H41" s="209"/>
      <c r="I41" s="209"/>
      <c r="J41" s="209"/>
      <c r="K41" s="209"/>
      <c r="L41" s="209"/>
      <c r="M41" s="139"/>
      <c r="N41" s="35"/>
      <c r="O41" s="35"/>
      <c r="P41" s="35"/>
      <c r="Q41" s="35"/>
      <c r="R41" s="35"/>
    </row>
    <row r="42" spans="2:18" s="89" customFormat="1" ht="21.75" thickBot="1" x14ac:dyDescent="0.4">
      <c r="B42" s="157"/>
      <c r="C42" s="154"/>
      <c r="D42" s="141"/>
      <c r="E42" s="142"/>
      <c r="F42" s="142"/>
      <c r="G42" s="143"/>
      <c r="H42" s="143"/>
      <c r="I42" s="143"/>
      <c r="J42" s="143"/>
      <c r="K42" s="143"/>
      <c r="L42" s="143"/>
      <c r="M42" s="144"/>
      <c r="N42" s="35"/>
      <c r="O42" s="35"/>
      <c r="P42" s="35"/>
      <c r="Q42" s="35"/>
      <c r="R42" s="35"/>
    </row>
    <row r="43" spans="2:18" s="105" customFormat="1" ht="21.75" thickBot="1" x14ac:dyDescent="0.4">
      <c r="C43" s="162"/>
      <c r="D43" s="163"/>
      <c r="E43" s="164"/>
      <c r="F43" s="164"/>
    </row>
    <row r="44" spans="2:18" s="89" customFormat="1" ht="61.5" x14ac:dyDescent="0.9">
      <c r="B44" s="156"/>
      <c r="C44" s="151" t="s">
        <v>85</v>
      </c>
      <c r="D44" s="136"/>
      <c r="E44" s="135"/>
      <c r="F44" s="135"/>
      <c r="G44" s="137"/>
      <c r="H44" s="137"/>
      <c r="I44" s="137"/>
      <c r="J44" s="137"/>
      <c r="K44" s="137"/>
      <c r="L44" s="137"/>
      <c r="M44" s="138"/>
      <c r="N44" s="150"/>
      <c r="O44" s="150"/>
      <c r="P44" s="150"/>
      <c r="Q44" s="150"/>
      <c r="R44" s="150"/>
    </row>
    <row r="45" spans="2:18" s="89" customFormat="1" ht="51.6" customHeight="1" x14ac:dyDescent="0.4">
      <c r="B45" s="140"/>
      <c r="C45" s="214" t="s">
        <v>109</v>
      </c>
      <c r="D45" s="214"/>
      <c r="E45" s="214"/>
      <c r="F45" s="214"/>
      <c r="G45" s="214"/>
      <c r="H45" s="214"/>
      <c r="I45" s="214"/>
      <c r="J45" s="214"/>
      <c r="K45" s="214"/>
      <c r="L45" s="214"/>
      <c r="M45" s="139"/>
      <c r="N45" s="150"/>
      <c r="O45" s="150"/>
      <c r="P45" s="150"/>
      <c r="Q45" s="150"/>
      <c r="R45" s="150"/>
    </row>
    <row r="46" spans="2:18" s="89" customFormat="1" ht="27" thickBot="1" x14ac:dyDescent="0.45">
      <c r="B46" s="140"/>
      <c r="C46" s="152"/>
      <c r="D46" s="35"/>
      <c r="E46" s="35"/>
      <c r="F46" s="133"/>
      <c r="G46" s="35"/>
      <c r="H46" s="35"/>
      <c r="I46" s="35"/>
      <c r="J46" s="35"/>
      <c r="K46" s="35"/>
      <c r="L46" s="35"/>
      <c r="M46" s="139"/>
      <c r="N46" s="150"/>
      <c r="O46" s="150"/>
      <c r="P46" s="150"/>
      <c r="Q46" s="150"/>
      <c r="R46" s="150"/>
    </row>
    <row r="47" spans="2:18" s="89" customFormat="1" ht="47.25" thickBot="1" x14ac:dyDescent="0.3">
      <c r="B47" s="140"/>
      <c r="C47" s="132" t="s">
        <v>95</v>
      </c>
      <c r="D47" s="155" t="s">
        <v>104</v>
      </c>
      <c r="E47" s="213"/>
      <c r="F47" s="213"/>
      <c r="G47" s="179"/>
      <c r="H47" s="155"/>
      <c r="I47" s="35"/>
      <c r="J47" s="35"/>
      <c r="K47" s="35"/>
      <c r="L47" s="35"/>
      <c r="M47" s="139"/>
      <c r="N47" s="150"/>
      <c r="O47" s="150"/>
      <c r="P47" s="150"/>
      <c r="Q47" s="150"/>
      <c r="R47" s="150"/>
    </row>
    <row r="48" spans="2:18" s="89" customFormat="1" ht="21" x14ac:dyDescent="0.35">
      <c r="B48" s="140"/>
      <c r="C48" s="35"/>
      <c r="D48" s="133"/>
      <c r="E48" s="134"/>
      <c r="F48" s="133"/>
      <c r="G48" s="35"/>
      <c r="H48" s="35"/>
      <c r="I48" s="35"/>
      <c r="J48" s="35"/>
      <c r="K48" s="35"/>
      <c r="L48" s="35"/>
      <c r="M48" s="139"/>
      <c r="N48" s="150"/>
      <c r="O48" s="150"/>
      <c r="P48" s="150"/>
      <c r="Q48" s="150"/>
      <c r="R48" s="150"/>
    </row>
    <row r="49" spans="2:18" s="89" customFormat="1" ht="26.25" x14ac:dyDescent="0.4">
      <c r="B49" s="140"/>
      <c r="C49" s="152" t="s">
        <v>83</v>
      </c>
      <c r="D49" s="133"/>
      <c r="E49" s="134"/>
      <c r="F49" s="133"/>
      <c r="G49" s="35"/>
      <c r="H49" s="35"/>
      <c r="I49" s="35"/>
      <c r="J49" s="35"/>
      <c r="K49" s="35"/>
      <c r="L49" s="35"/>
      <c r="M49" s="139"/>
      <c r="N49" s="150"/>
      <c r="O49" s="150"/>
      <c r="P49" s="150"/>
      <c r="Q49" s="150"/>
      <c r="R49" s="150"/>
    </row>
    <row r="50" spans="2:18" s="89" customFormat="1" ht="26.25" x14ac:dyDescent="0.4">
      <c r="B50" s="140"/>
      <c r="C50" s="152" t="s">
        <v>80</v>
      </c>
      <c r="D50" s="133"/>
      <c r="E50" s="134"/>
      <c r="F50" s="133"/>
      <c r="G50" s="35"/>
      <c r="H50" s="35"/>
      <c r="I50" s="35"/>
      <c r="J50" s="35"/>
      <c r="K50" s="35"/>
      <c r="L50" s="35"/>
      <c r="M50" s="139"/>
      <c r="N50" s="150"/>
      <c r="O50" s="150"/>
      <c r="P50" s="150"/>
      <c r="Q50" s="150"/>
      <c r="R50" s="150"/>
    </row>
    <row r="51" spans="2:18" s="89" customFormat="1" ht="26.25" x14ac:dyDescent="0.4">
      <c r="B51" s="140"/>
      <c r="C51" s="152"/>
      <c r="D51" s="133"/>
      <c r="E51" s="134"/>
      <c r="F51" s="133"/>
      <c r="G51" s="35"/>
      <c r="H51" s="35"/>
      <c r="I51" s="35"/>
      <c r="J51" s="35"/>
      <c r="K51" s="35"/>
      <c r="L51" s="35"/>
      <c r="M51" s="139"/>
      <c r="N51" s="150"/>
      <c r="O51" s="150"/>
      <c r="P51" s="150"/>
      <c r="Q51" s="150"/>
      <c r="R51" s="150"/>
    </row>
    <row r="52" spans="2:18" s="89" customFormat="1" ht="21" x14ac:dyDescent="0.35">
      <c r="B52" s="140"/>
      <c r="C52" s="211" t="s">
        <v>79</v>
      </c>
      <c r="D52" s="212"/>
      <c r="E52" s="212"/>
      <c r="F52" s="133"/>
      <c r="G52" s="35"/>
      <c r="H52" s="35"/>
      <c r="I52" s="35"/>
      <c r="J52" s="35"/>
      <c r="K52" s="35"/>
      <c r="L52" s="35"/>
      <c r="M52" s="139"/>
      <c r="N52" s="150"/>
      <c r="O52" s="150"/>
      <c r="P52" s="150"/>
      <c r="Q52" s="150"/>
      <c r="R52" s="150"/>
    </row>
    <row r="53" spans="2:18" s="89" customFormat="1" ht="93.75" thickBot="1" x14ac:dyDescent="0.4">
      <c r="B53" s="140"/>
      <c r="C53" s="160" t="s">
        <v>68</v>
      </c>
      <c r="D53" s="160" t="s">
        <v>105</v>
      </c>
      <c r="E53" s="160" t="s">
        <v>106</v>
      </c>
      <c r="F53" s="133"/>
      <c r="G53" s="35"/>
      <c r="H53" s="35"/>
      <c r="I53" s="35"/>
      <c r="J53" s="35"/>
      <c r="K53" s="35"/>
      <c r="L53" s="35"/>
      <c r="M53" s="139"/>
      <c r="N53" s="150"/>
      <c r="O53" s="150"/>
      <c r="P53" s="150"/>
      <c r="Q53" s="150"/>
      <c r="R53" s="150"/>
    </row>
    <row r="54" spans="2:18" s="89" customFormat="1" ht="47.25" thickBot="1" x14ac:dyDescent="0.75">
      <c r="B54" s="140"/>
      <c r="C54" s="166">
        <v>0.95</v>
      </c>
      <c r="D54" s="158">
        <f>Sheet3!W58</f>
        <v>774236.66603834578</v>
      </c>
      <c r="E54" s="158">
        <f>Sheet3!W60</f>
        <v>452908.37338718114</v>
      </c>
      <c r="F54" s="133"/>
      <c r="G54" s="35"/>
      <c r="H54" s="35"/>
      <c r="I54" s="35"/>
      <c r="J54" s="35"/>
      <c r="K54" s="35"/>
      <c r="L54" s="35"/>
      <c r="M54" s="139"/>
      <c r="N54" s="150"/>
      <c r="O54" s="150"/>
      <c r="P54" s="150"/>
      <c r="Q54" s="150"/>
      <c r="R54" s="150"/>
    </row>
    <row r="55" spans="2:18" s="89" customFormat="1" ht="21" x14ac:dyDescent="0.35">
      <c r="B55" s="140"/>
      <c r="C55" s="153"/>
      <c r="D55" s="124"/>
      <c r="E55" s="125"/>
      <c r="F55" s="133"/>
      <c r="G55" s="35"/>
      <c r="H55" s="35"/>
      <c r="I55" s="35"/>
      <c r="J55" s="35"/>
      <c r="K55" s="35"/>
      <c r="L55" s="35"/>
      <c r="M55" s="139"/>
      <c r="N55" s="150"/>
      <c r="O55" s="150"/>
      <c r="P55" s="150"/>
      <c r="Q55" s="150"/>
      <c r="R55" s="150"/>
    </row>
    <row r="56" spans="2:18" s="89" customFormat="1" ht="57.6" customHeight="1" x14ac:dyDescent="0.4">
      <c r="B56" s="140"/>
      <c r="C56" s="209" t="str">
        <f>IF(C54&gt;C39,CONCATENATE("Оберіть менше значення! Воно має бути в діапазоні ",'Оголошення закупівлі'!$B$11*100,"% - ",C39*100,"% (до трьох знаків після коми)."),IF(C54=C39,CONCATENATE("Ви не здійснюєте крок! Якщо бажаєте здійснити крок, зменшіть значення - воно має бути в діапазоні ",'Оголошення закупівлі'!$B$11*100,"% - ",C39*100,"% (до трьох знаків після коми)."),IF(C54="",CONCATENATE("Введіть значення! Воно має бути в діапазоні ",'Оголошення закупівлі'!$B$11*100,"% - ",C39*100,"% (до трьох знаків після коми)."),IF(C54&lt;'Оголошення закупівлі'!$B$11,CONCATENATE("Збільшіть значення! Воно має бути в діапазоні ",'Оголошення закупівлі'!$B$11*100,"% - ",C39*100,"% (до трьох знаків після коми)."),(IF((OR(((E54-E39)/E39)&lt;$C$6,E54&lt;C47)),CONCATENATE("Ще трохи зменшіть значення! (не нижче ",'Оголошення закупівлі'!$B$11*100,"%)"),"Обране значення підходить! Введіть його в систему."))))))</f>
        <v>Ви не здійснюєте крок! Якщо бажаєте здійснити крок, зменшіть значення - воно має бути в діапазоні 80% - 95% (до трьох знаків після коми).</v>
      </c>
      <c r="D56" s="209"/>
      <c r="E56" s="209"/>
      <c r="F56" s="209"/>
      <c r="G56" s="209"/>
      <c r="H56" s="209"/>
      <c r="I56" s="209"/>
      <c r="J56" s="209"/>
      <c r="K56" s="209"/>
      <c r="L56" s="209"/>
      <c r="M56" s="139"/>
      <c r="N56" s="150"/>
      <c r="O56" s="150"/>
      <c r="P56" s="150"/>
      <c r="Q56" s="150"/>
      <c r="R56" s="150"/>
    </row>
    <row r="57" spans="2:18" s="89" customFormat="1" ht="21.75" thickBot="1" x14ac:dyDescent="0.4">
      <c r="B57" s="157"/>
      <c r="C57" s="154"/>
      <c r="D57" s="141"/>
      <c r="E57" s="142"/>
      <c r="F57" s="142"/>
      <c r="G57" s="143"/>
      <c r="H57" s="143"/>
      <c r="I57" s="143"/>
      <c r="J57" s="143"/>
      <c r="K57" s="143"/>
      <c r="L57" s="143"/>
      <c r="M57" s="144"/>
      <c r="N57" s="150"/>
      <c r="O57" s="150"/>
      <c r="P57" s="150"/>
      <c r="Q57" s="150"/>
      <c r="R57" s="150"/>
    </row>
    <row r="58" spans="2:18" s="89" customFormat="1" ht="21" x14ac:dyDescent="0.35">
      <c r="C58" s="121"/>
      <c r="D58" s="120"/>
      <c r="E58" s="97"/>
      <c r="F58" s="97"/>
    </row>
    <row r="59" spans="2:18" s="89" customFormat="1" ht="21" x14ac:dyDescent="0.35">
      <c r="C59" s="121"/>
      <c r="D59" s="120"/>
      <c r="E59" s="97"/>
      <c r="F59" s="97"/>
    </row>
    <row r="60" spans="2:18" s="89" customFormat="1" ht="21" x14ac:dyDescent="0.35">
      <c r="C60" s="121"/>
      <c r="D60" s="120"/>
      <c r="E60" s="97"/>
      <c r="F60" s="97"/>
    </row>
  </sheetData>
  <mergeCells count="18">
    <mergeCell ref="C2:F2"/>
    <mergeCell ref="B9:M9"/>
    <mergeCell ref="B10:M10"/>
    <mergeCell ref="B11:M11"/>
    <mergeCell ref="C15:L15"/>
    <mergeCell ref="B12:M12"/>
    <mergeCell ref="C56:L56"/>
    <mergeCell ref="C4:F4"/>
    <mergeCell ref="C22:E22"/>
    <mergeCell ref="C37:E37"/>
    <mergeCell ref="C52:E52"/>
    <mergeCell ref="E17:F17"/>
    <mergeCell ref="E32:F32"/>
    <mergeCell ref="E47:F47"/>
    <mergeCell ref="C30:L30"/>
    <mergeCell ref="C45:L45"/>
    <mergeCell ref="C41:L41"/>
    <mergeCell ref="C26:L26"/>
  </mergeCells>
  <conditionalFormatting sqref="C56">
    <cfRule type="containsText" dxfId="14" priority="11" operator="containsText" text="Збільшіть значення">
      <formula>NOT(ISERROR(SEARCH("Збільшіть значення",C56)))</formula>
    </cfRule>
    <cfRule type="containsText" dxfId="13" priority="12" operator="containsText" text="Ще">
      <formula>NOT(ISERROR(SEARCH("Ще",C56)))</formula>
    </cfRule>
    <cfRule type="containsText" dxfId="12" priority="13" operator="containsText" text="Введіть значення">
      <formula>NOT(ISERROR(SEARCH("Введіть значення",C56)))</formula>
    </cfRule>
    <cfRule type="containsText" dxfId="11" priority="14" operator="containsText" text="зменшіть">
      <formula>NOT(ISERROR(SEARCH("зменшіть",C56)))</formula>
    </cfRule>
    <cfRule type="containsText" dxfId="10" priority="15" operator="containsText" text="Оберіть">
      <formula>NOT(ISERROR(SEARCH("Оберіть",C56)))</formula>
    </cfRule>
  </conditionalFormatting>
  <conditionalFormatting sqref="C41">
    <cfRule type="containsText" dxfId="9" priority="6" operator="containsText" text="Збільшіть значення">
      <formula>NOT(ISERROR(SEARCH("Збільшіть значення",C41)))</formula>
    </cfRule>
    <cfRule type="containsText" dxfId="8" priority="7" operator="containsText" text="Ще">
      <formula>NOT(ISERROR(SEARCH("Ще",C41)))</formula>
    </cfRule>
    <cfRule type="containsText" dxfId="7" priority="8" operator="containsText" text="Введіть значення">
      <formula>NOT(ISERROR(SEARCH("Введіть значення",C41)))</formula>
    </cfRule>
    <cfRule type="containsText" dxfId="6" priority="9" operator="containsText" text="зменшіть">
      <formula>NOT(ISERROR(SEARCH("зменшіть",C41)))</formula>
    </cfRule>
    <cfRule type="containsText" dxfId="5" priority="10" operator="containsText" text="Оберіть">
      <formula>NOT(ISERROR(SEARCH("Оберіть",C41)))</formula>
    </cfRule>
  </conditionalFormatting>
  <conditionalFormatting sqref="C26">
    <cfRule type="containsText" dxfId="4" priority="1" operator="containsText" text="Збільшіть значення">
      <formula>NOT(ISERROR(SEARCH("Збільшіть значення",C26)))</formula>
    </cfRule>
    <cfRule type="containsText" dxfId="3" priority="2" operator="containsText" text="Ще">
      <formula>NOT(ISERROR(SEARCH("Ще",C26)))</formula>
    </cfRule>
    <cfRule type="containsText" dxfId="2" priority="3" operator="containsText" text="Введіть значення">
      <formula>NOT(ISERROR(SEARCH("Введіть значення",C26)))</formula>
    </cfRule>
    <cfRule type="containsText" dxfId="1" priority="4" operator="containsText" text="зменшіть">
      <formula>NOT(ISERROR(SEARCH("зменшіть",C26)))</formula>
    </cfRule>
    <cfRule type="containsText" dxfId="0" priority="5" operator="containsText" text="Оберіть">
      <formula>NOT(ISERROR(SEARCH("Оберіть",C26)))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0"/>
  <sheetViews>
    <sheetView topLeftCell="A7" zoomScale="59" zoomScaleNormal="59" workbookViewId="0">
      <selection activeCell="B49" sqref="A1:XFD1048576"/>
    </sheetView>
  </sheetViews>
  <sheetFormatPr defaultColWidth="14.42578125" defaultRowHeight="15" x14ac:dyDescent="0.25"/>
  <cols>
    <col min="1" max="1" width="37.28515625" style="89" customWidth="1"/>
    <col min="2" max="2" width="9.140625" style="89" customWidth="1"/>
    <col min="3" max="3" width="14" style="89" customWidth="1"/>
    <col min="4" max="22" width="9.140625" style="89" customWidth="1"/>
    <col min="23" max="23" width="36.42578125" style="89" customWidth="1"/>
    <col min="24" max="26" width="8.7109375" style="89" customWidth="1"/>
    <col min="27" max="16384" width="14.42578125" style="89"/>
  </cols>
  <sheetData>
    <row r="1" spans="1:23" ht="36" x14ac:dyDescent="0.55000000000000004">
      <c r="A1" s="165" t="s">
        <v>84</v>
      </c>
    </row>
    <row r="2" spans="1:23" x14ac:dyDescent="0.25">
      <c r="A2" s="7" t="s">
        <v>0</v>
      </c>
      <c r="B2" s="201">
        <f>startDate</f>
        <v>43061</v>
      </c>
      <c r="C2" s="202"/>
    </row>
    <row r="3" spans="1:23" x14ac:dyDescent="0.25">
      <c r="F3" s="6"/>
    </row>
    <row r="4" spans="1:23" x14ac:dyDescent="0.25">
      <c r="A4" s="7" t="s">
        <v>2</v>
      </c>
      <c r="B4" s="7">
        <v>1</v>
      </c>
      <c r="C4" s="7">
        <f t="shared" ref="C4:V4" si="0">B4+1</f>
        <v>2</v>
      </c>
      <c r="D4" s="7">
        <f t="shared" si="0"/>
        <v>3</v>
      </c>
      <c r="E4" s="7">
        <f t="shared" si="0"/>
        <v>4</v>
      </c>
      <c r="F4" s="7">
        <f t="shared" si="0"/>
        <v>5</v>
      </c>
      <c r="G4" s="7">
        <f t="shared" si="0"/>
        <v>6</v>
      </c>
      <c r="H4" s="7">
        <f t="shared" si="0"/>
        <v>7</v>
      </c>
      <c r="I4" s="7">
        <f t="shared" si="0"/>
        <v>8</v>
      </c>
      <c r="J4" s="7">
        <f t="shared" si="0"/>
        <v>9</v>
      </c>
      <c r="K4" s="7">
        <f t="shared" si="0"/>
        <v>10</v>
      </c>
      <c r="L4" s="7">
        <f t="shared" si="0"/>
        <v>11</v>
      </c>
      <c r="M4" s="7">
        <f t="shared" si="0"/>
        <v>12</v>
      </c>
      <c r="N4" s="7">
        <f t="shared" si="0"/>
        <v>13</v>
      </c>
      <c r="O4" s="7">
        <f t="shared" si="0"/>
        <v>14</v>
      </c>
      <c r="P4" s="7">
        <f t="shared" si="0"/>
        <v>15</v>
      </c>
      <c r="Q4" s="7">
        <f t="shared" si="0"/>
        <v>16</v>
      </c>
      <c r="R4" s="7">
        <f t="shared" si="0"/>
        <v>17</v>
      </c>
      <c r="S4" s="7">
        <f t="shared" si="0"/>
        <v>18</v>
      </c>
      <c r="T4" s="7">
        <f t="shared" si="0"/>
        <v>19</v>
      </c>
      <c r="U4" s="7">
        <f t="shared" si="0"/>
        <v>20</v>
      </c>
      <c r="V4" s="7">
        <f t="shared" si="0"/>
        <v>21</v>
      </c>
    </row>
    <row r="5" spans="1:23" x14ac:dyDescent="0.25">
      <c r="A5" s="7" t="s">
        <v>3</v>
      </c>
      <c r="B5" s="7">
        <f t="shared" ref="B5:V5" si="1">YEAR(startDate)-1+B4</f>
        <v>2017</v>
      </c>
      <c r="C5" s="7">
        <f t="shared" si="1"/>
        <v>2018</v>
      </c>
      <c r="D5" s="7">
        <f t="shared" si="1"/>
        <v>2019</v>
      </c>
      <c r="E5" s="7">
        <f t="shared" si="1"/>
        <v>2020</v>
      </c>
      <c r="F5" s="7">
        <f t="shared" si="1"/>
        <v>2021</v>
      </c>
      <c r="G5" s="7">
        <f t="shared" si="1"/>
        <v>2022</v>
      </c>
      <c r="H5" s="7">
        <f t="shared" si="1"/>
        <v>2023</v>
      </c>
      <c r="I5" s="7">
        <f t="shared" si="1"/>
        <v>2024</v>
      </c>
      <c r="J5" s="7">
        <f t="shared" si="1"/>
        <v>2025</v>
      </c>
      <c r="K5" s="7">
        <f t="shared" si="1"/>
        <v>2026</v>
      </c>
      <c r="L5" s="7">
        <f t="shared" si="1"/>
        <v>2027</v>
      </c>
      <c r="M5" s="7">
        <f t="shared" si="1"/>
        <v>2028</v>
      </c>
      <c r="N5" s="7">
        <f t="shared" si="1"/>
        <v>2029</v>
      </c>
      <c r="O5" s="7">
        <f t="shared" si="1"/>
        <v>2030</v>
      </c>
      <c r="P5" s="7">
        <f t="shared" si="1"/>
        <v>2031</v>
      </c>
      <c r="Q5" s="7">
        <f t="shared" si="1"/>
        <v>2032</v>
      </c>
      <c r="R5" s="7">
        <f t="shared" si="1"/>
        <v>2033</v>
      </c>
      <c r="S5" s="7">
        <f t="shared" si="1"/>
        <v>2034</v>
      </c>
      <c r="T5" s="7">
        <f t="shared" si="1"/>
        <v>2035</v>
      </c>
      <c r="U5" s="7">
        <f t="shared" si="1"/>
        <v>2036</v>
      </c>
      <c r="V5" s="7">
        <f t="shared" si="1"/>
        <v>2037</v>
      </c>
    </row>
    <row r="6" spans="1:23" x14ac:dyDescent="0.25">
      <c r="A6" s="10" t="s">
        <v>4</v>
      </c>
      <c r="B6" s="10">
        <v>365</v>
      </c>
      <c r="C6" s="10">
        <v>365</v>
      </c>
      <c r="D6" s="10">
        <v>365</v>
      </c>
      <c r="E6" s="10">
        <v>365</v>
      </c>
      <c r="F6" s="10">
        <v>365</v>
      </c>
      <c r="G6" s="10">
        <v>365</v>
      </c>
      <c r="H6" s="10">
        <v>365</v>
      </c>
      <c r="I6" s="10">
        <v>365</v>
      </c>
      <c r="J6" s="10">
        <v>365</v>
      </c>
      <c r="K6" s="10">
        <v>365</v>
      </c>
      <c r="L6" s="10">
        <v>365</v>
      </c>
      <c r="M6" s="10">
        <v>365</v>
      </c>
      <c r="N6" s="10">
        <v>365</v>
      </c>
      <c r="O6" s="10">
        <v>365</v>
      </c>
      <c r="P6" s="10">
        <v>365</v>
      </c>
      <c r="Q6" s="10">
        <v>365</v>
      </c>
      <c r="R6" s="10">
        <v>365</v>
      </c>
      <c r="S6" s="10">
        <v>365</v>
      </c>
      <c r="T6" s="10">
        <v>365</v>
      </c>
      <c r="U6" s="10">
        <v>365</v>
      </c>
      <c r="V6" s="10">
        <v>365</v>
      </c>
    </row>
    <row r="7" spans="1:23" ht="45" x14ac:dyDescent="0.25">
      <c r="A7" s="10" t="s">
        <v>6</v>
      </c>
      <c r="B7" s="11">
        <f>MROUND(YEARFRAC("31.12.2017",B2)*365,1)</f>
        <v>40</v>
      </c>
      <c r="C7" s="10">
        <f t="shared" ref="C7:V7" si="2">C6</f>
        <v>365</v>
      </c>
      <c r="D7" s="10">
        <f t="shared" si="2"/>
        <v>365</v>
      </c>
      <c r="E7" s="10">
        <f t="shared" si="2"/>
        <v>365</v>
      </c>
      <c r="F7" s="10">
        <f t="shared" si="2"/>
        <v>365</v>
      </c>
      <c r="G7" s="10">
        <f t="shared" si="2"/>
        <v>365</v>
      </c>
      <c r="H7" s="10">
        <f t="shared" si="2"/>
        <v>365</v>
      </c>
      <c r="I7" s="10">
        <f t="shared" si="2"/>
        <v>365</v>
      </c>
      <c r="J7" s="10">
        <f t="shared" si="2"/>
        <v>365</v>
      </c>
      <c r="K7" s="10">
        <f t="shared" si="2"/>
        <v>365</v>
      </c>
      <c r="L7" s="10">
        <f t="shared" si="2"/>
        <v>365</v>
      </c>
      <c r="M7" s="10">
        <f t="shared" si="2"/>
        <v>365</v>
      </c>
      <c r="N7" s="10">
        <f t="shared" si="2"/>
        <v>365</v>
      </c>
      <c r="O7" s="10">
        <f t="shared" si="2"/>
        <v>365</v>
      </c>
      <c r="P7" s="10">
        <f t="shared" si="2"/>
        <v>365</v>
      </c>
      <c r="Q7" s="10">
        <f t="shared" si="2"/>
        <v>365</v>
      </c>
      <c r="R7" s="10">
        <f t="shared" si="2"/>
        <v>365</v>
      </c>
      <c r="S7" s="10">
        <f t="shared" si="2"/>
        <v>365</v>
      </c>
      <c r="T7" s="10">
        <f t="shared" si="2"/>
        <v>365</v>
      </c>
      <c r="U7" s="10">
        <f t="shared" si="2"/>
        <v>365</v>
      </c>
      <c r="V7" s="10">
        <f t="shared" si="2"/>
        <v>365</v>
      </c>
    </row>
    <row r="8" spans="1:23" x14ac:dyDescent="0.25">
      <c r="A8" s="7" t="s">
        <v>61</v>
      </c>
      <c r="B8" s="13">
        <f>VLOOKUP(B$5,'Скорочення споживання ПЕР'!$A$59:$P$79,16,0)</f>
        <v>0</v>
      </c>
      <c r="C8" s="13">
        <f>VLOOKUP(C$5,'Скорочення споживання ПЕР'!$A$59:$P$79,16,0)</f>
        <v>89197.230554999987</v>
      </c>
      <c r="D8" s="13">
        <f>VLOOKUP(D$5,'Скорочення споживання ПЕР'!$A$59:$P$79,16,0)</f>
        <v>148410.5814</v>
      </c>
      <c r="E8" s="13">
        <f>VLOOKUP(E$5,'Скорочення споживання ПЕР'!$A$59:$P$79,16,0)</f>
        <v>148410.5814</v>
      </c>
      <c r="F8" s="13">
        <f>VLOOKUP(F$5,'Скорочення споживання ПЕР'!$A$59:$P$79,16,0)</f>
        <v>148410.5814</v>
      </c>
      <c r="G8" s="13">
        <f>VLOOKUP(G$5,'Скорочення споживання ПЕР'!$A$59:$P$79,16,0)</f>
        <v>148410.5814</v>
      </c>
      <c r="H8" s="13">
        <f>VLOOKUP(H$5,'Скорочення споживання ПЕР'!$A$59:$P$79,16,0)</f>
        <v>148410.5814</v>
      </c>
      <c r="I8" s="13">
        <f>VLOOKUP(I$5,'Скорочення споживання ПЕР'!$A$59:$P$79,16,0)</f>
        <v>148410.5814</v>
      </c>
      <c r="J8" s="13">
        <f>VLOOKUP(J$5,'Скорочення споживання ПЕР'!$A$59:$P$79,16,0)</f>
        <v>148410.5814</v>
      </c>
      <c r="K8" s="13">
        <f>VLOOKUP(K$5,'Скорочення споживання ПЕР'!$A$59:$P$79,16,0)</f>
        <v>148410.5814</v>
      </c>
      <c r="L8" s="13">
        <f>VLOOKUP(L$5,'Скорочення споживання ПЕР'!$A$59:$P$79,16,0)</f>
        <v>148410.5814</v>
      </c>
      <c r="M8" s="13">
        <f>VLOOKUP(M$5,'Скорочення споживання ПЕР'!$A$59:$P$79,16,0)</f>
        <v>148410.5814</v>
      </c>
      <c r="N8" s="13">
        <f>VLOOKUP(N$5,'Скорочення споживання ПЕР'!$A$59:$P$79,16,0)</f>
        <v>148410.5814</v>
      </c>
      <c r="O8" s="13">
        <f>VLOOKUP(O$5,'Скорочення споживання ПЕР'!$A$59:$P$79,16,0)</f>
        <v>148410.5814</v>
      </c>
      <c r="P8" s="13">
        <f>VLOOKUP(P$5,'Скорочення споживання ПЕР'!$A$59:$P$79,16,0)</f>
        <v>148410.5814</v>
      </c>
      <c r="Q8" s="13">
        <f>VLOOKUP(Q$5,'Скорочення споживання ПЕР'!$A$59:$P$79,16,0)</f>
        <v>148410.5814</v>
      </c>
      <c r="R8" s="13">
        <f>VLOOKUP(R$5,'Скорочення споживання ПЕР'!$A$59:$P$79,16,0)</f>
        <v>148410.5814</v>
      </c>
      <c r="S8" s="13">
        <f>VLOOKUP(S$5,'Скорочення споживання ПЕР'!$A$59:$P$79,16,0)</f>
        <v>148410.5814</v>
      </c>
      <c r="T8" s="13">
        <f>VLOOKUP(T$5,'Скорочення споживання ПЕР'!$A$59:$P$79,16,0)</f>
        <v>148410.5814</v>
      </c>
      <c r="U8" s="13">
        <f>VLOOKUP(U$5,'Скорочення споживання ПЕР'!$A$59:$P$79,16,0)</f>
        <v>148410.5814</v>
      </c>
      <c r="V8" s="13">
        <f>VLOOKUP(V$5,'Скорочення споживання ПЕР'!$A$59:$P$79,16,0)</f>
        <v>148410.5814</v>
      </c>
    </row>
    <row r="11" spans="1:23" ht="30" x14ac:dyDescent="0.25">
      <c r="A11" s="10" t="s">
        <v>9</v>
      </c>
      <c r="B11" s="15">
        <f t="shared" ref="B11:U11" si="3">B7</f>
        <v>40</v>
      </c>
      <c r="C11" s="7">
        <f t="shared" si="3"/>
        <v>365</v>
      </c>
      <c r="D11" s="7">
        <f t="shared" si="3"/>
        <v>365</v>
      </c>
      <c r="E11" s="7">
        <f t="shared" si="3"/>
        <v>365</v>
      </c>
      <c r="F11" s="7">
        <f t="shared" si="3"/>
        <v>365</v>
      </c>
      <c r="G11" s="7">
        <f t="shared" si="3"/>
        <v>365</v>
      </c>
      <c r="H11" s="7">
        <f t="shared" si="3"/>
        <v>365</v>
      </c>
      <c r="I11" s="7">
        <f t="shared" si="3"/>
        <v>365</v>
      </c>
      <c r="J11" s="7">
        <f t="shared" si="3"/>
        <v>365</v>
      </c>
      <c r="K11" s="7">
        <f t="shared" si="3"/>
        <v>365</v>
      </c>
      <c r="L11" s="7">
        <f t="shared" si="3"/>
        <v>365</v>
      </c>
      <c r="M11" s="7">
        <f t="shared" si="3"/>
        <v>365</v>
      </c>
      <c r="N11" s="7">
        <f t="shared" si="3"/>
        <v>365</v>
      </c>
      <c r="O11" s="7">
        <f t="shared" si="3"/>
        <v>365</v>
      </c>
      <c r="P11" s="7">
        <f t="shared" si="3"/>
        <v>365</v>
      </c>
      <c r="Q11" s="7">
        <f t="shared" si="3"/>
        <v>365</v>
      </c>
      <c r="R11" s="7">
        <f t="shared" si="3"/>
        <v>365</v>
      </c>
      <c r="S11" s="7">
        <f t="shared" si="3"/>
        <v>365</v>
      </c>
      <c r="T11" s="7">
        <f t="shared" si="3"/>
        <v>365</v>
      </c>
      <c r="U11" s="7">
        <f t="shared" si="3"/>
        <v>365</v>
      </c>
      <c r="V11" s="16">
        <f>365-B11</f>
        <v>325</v>
      </c>
    </row>
    <row r="12" spans="1:23" ht="30" x14ac:dyDescent="0.25">
      <c r="A12" s="10" t="s">
        <v>11</v>
      </c>
      <c r="B12" s="17">
        <f t="shared" ref="B12:V12" si="4">NBUdiscountRate*B11/B6</f>
        <v>1.4794520547945207E-2</v>
      </c>
      <c r="C12" s="17">
        <f t="shared" si="4"/>
        <v>0.13500000000000001</v>
      </c>
      <c r="D12" s="17">
        <f t="shared" si="4"/>
        <v>0.13500000000000001</v>
      </c>
      <c r="E12" s="17">
        <f t="shared" si="4"/>
        <v>0.13500000000000001</v>
      </c>
      <c r="F12" s="17">
        <f t="shared" si="4"/>
        <v>0.13500000000000001</v>
      </c>
      <c r="G12" s="17">
        <f t="shared" si="4"/>
        <v>0.13500000000000001</v>
      </c>
      <c r="H12" s="17">
        <f t="shared" si="4"/>
        <v>0.13500000000000001</v>
      </c>
      <c r="I12" s="17">
        <f t="shared" si="4"/>
        <v>0.13500000000000001</v>
      </c>
      <c r="J12" s="17">
        <f t="shared" si="4"/>
        <v>0.13500000000000001</v>
      </c>
      <c r="K12" s="17">
        <f t="shared" si="4"/>
        <v>0.13500000000000001</v>
      </c>
      <c r="L12" s="17">
        <f t="shared" si="4"/>
        <v>0.13500000000000001</v>
      </c>
      <c r="M12" s="17">
        <f t="shared" si="4"/>
        <v>0.13500000000000001</v>
      </c>
      <c r="N12" s="17">
        <f t="shared" si="4"/>
        <v>0.13500000000000001</v>
      </c>
      <c r="O12" s="17">
        <f t="shared" si="4"/>
        <v>0.13500000000000001</v>
      </c>
      <c r="P12" s="17">
        <f t="shared" si="4"/>
        <v>0.13500000000000001</v>
      </c>
      <c r="Q12" s="17">
        <f t="shared" si="4"/>
        <v>0.13500000000000001</v>
      </c>
      <c r="R12" s="17">
        <f t="shared" si="4"/>
        <v>0.13500000000000001</v>
      </c>
      <c r="S12" s="17">
        <f t="shared" si="4"/>
        <v>0.13500000000000001</v>
      </c>
      <c r="T12" s="17">
        <f t="shared" si="4"/>
        <v>0.13500000000000001</v>
      </c>
      <c r="U12" s="17">
        <f t="shared" si="4"/>
        <v>0.13500000000000001</v>
      </c>
      <c r="V12" s="17">
        <f t="shared" si="4"/>
        <v>0.1202054794520548</v>
      </c>
    </row>
    <row r="13" spans="1:23" x14ac:dyDescent="0.25">
      <c r="A13" s="10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3" x14ac:dyDescent="0.25">
      <c r="A14" s="10">
        <v>1</v>
      </c>
      <c r="B14" s="18">
        <f t="shared" ref="B14:V14" si="5">A14/(1+B12)</f>
        <v>0.98542116630669552</v>
      </c>
      <c r="C14" s="18">
        <f t="shared" si="5"/>
        <v>0.86821248132748507</v>
      </c>
      <c r="D14" s="18">
        <f t="shared" si="5"/>
        <v>0.76494491746914983</v>
      </c>
      <c r="E14" s="18">
        <f t="shared" si="5"/>
        <v>0.67396027970850203</v>
      </c>
      <c r="F14" s="18">
        <f t="shared" si="5"/>
        <v>0.59379760326740272</v>
      </c>
      <c r="G14" s="18">
        <f t="shared" si="5"/>
        <v>0.52316969450872486</v>
      </c>
      <c r="H14" s="18">
        <f t="shared" si="5"/>
        <v>0.46094246212222456</v>
      </c>
      <c r="I14" s="18">
        <f t="shared" si="5"/>
        <v>0.40611670671561634</v>
      </c>
      <c r="J14" s="18">
        <f t="shared" si="5"/>
        <v>0.3578120764014241</v>
      </c>
      <c r="K14" s="18">
        <f t="shared" si="5"/>
        <v>0.31525293075015337</v>
      </c>
      <c r="L14" s="18">
        <f t="shared" si="5"/>
        <v>0.27775588612348312</v>
      </c>
      <c r="M14" s="18">
        <f t="shared" si="5"/>
        <v>0.24471884239954458</v>
      </c>
      <c r="N14" s="18">
        <f t="shared" si="5"/>
        <v>0.21561131488946658</v>
      </c>
      <c r="O14" s="18">
        <f t="shared" si="5"/>
        <v>0.18996591620217321</v>
      </c>
      <c r="P14" s="18">
        <f t="shared" si="5"/>
        <v>0.16737085127944776</v>
      </c>
      <c r="Q14" s="18">
        <f t="shared" si="5"/>
        <v>0.14746330509202446</v>
      </c>
      <c r="R14" s="18">
        <f t="shared" si="5"/>
        <v>0.12992361682116693</v>
      </c>
      <c r="S14" s="18">
        <f t="shared" si="5"/>
        <v>0.11447014697900171</v>
      </c>
      <c r="T14" s="18">
        <f t="shared" si="5"/>
        <v>0.1008547550475786</v>
      </c>
      <c r="U14" s="18">
        <f t="shared" si="5"/>
        <v>8.8858815019893039E-2</v>
      </c>
      <c r="V14" s="18">
        <f t="shared" si="5"/>
        <v>7.9323674673826866E-2</v>
      </c>
    </row>
    <row r="16" spans="1:23" ht="30.75" x14ac:dyDescent="0.3">
      <c r="A16" s="10" t="s">
        <v>12</v>
      </c>
      <c r="B16" s="16">
        <f>IF('Оголошення закупівлі'!B21&lt;B11,'Оголошення закупівлі'!B21,B11)</f>
        <v>40</v>
      </c>
      <c r="C16" s="16">
        <f>IF('Оголошення закупівлі'!$B21-SUM($B16:B16)&gt;365,365,IF('Оголошення закупівлі'!$B$21-SUM($B16:B16)&gt;0,'Оголошення закупівлі'!$B$21-SUM($B16:B16),0))</f>
        <v>365</v>
      </c>
      <c r="D16" s="16">
        <f>IF('Оголошення закупівлі'!$B21-SUM($B16:C16)&gt;365,365,IF('Оголошення закупівлі'!$B$21-SUM($B16:C16)&gt;0,'Оголошення закупівлі'!$B$21-SUM($B16:C16),0))</f>
        <v>365</v>
      </c>
      <c r="E16" s="16">
        <f>IF('Оголошення закупівлі'!$B21-SUM($B16:D16)&gt;365,365,IF('Оголошення закупівлі'!$B$21-SUM($B16:D16)&gt;0,'Оголошення закупівлі'!$B$21-SUM($B16:D16),0))</f>
        <v>365</v>
      </c>
      <c r="F16" s="16">
        <f>IF('Оголошення закупівлі'!$B21-SUM($B16:E16)&gt;365,365,IF('Оголошення закупівлі'!$B$21-SUM($B16:E16)&gt;0,'Оголошення закупівлі'!$B$21-SUM($B16:E16),0))</f>
        <v>365</v>
      </c>
      <c r="G16" s="16">
        <f>IF('Оголошення закупівлі'!$B21-SUM($B16:F16)&gt;365,365,IF('Оголошення закупівлі'!$B$21-SUM($B16:F16)&gt;0,'Оголошення закупівлі'!$B$21-SUM($B16:F16),0))</f>
        <v>365</v>
      </c>
      <c r="H16" s="16">
        <f>IF('Оголошення закупівлі'!$B21-SUM($B16:G16)&gt;365,365,IF('Оголошення закупівлі'!$B$21-SUM($B16:G16)&gt;0,'Оголошення закупівлі'!$B$21-SUM($B16:G16),0))</f>
        <v>325</v>
      </c>
      <c r="I16" s="16">
        <f>IF('Оголошення закупівлі'!$B21-SUM($B16:H16)&gt;365,365,IF('Оголошення закупівлі'!$B$21-SUM($B16:H16)&gt;0,'Оголошення закупівлі'!$B$21-SUM($B16:H16),0))</f>
        <v>0</v>
      </c>
      <c r="J16" s="16">
        <f>IF('Оголошення закупівлі'!$B21-SUM($B16:I16)&gt;365,365,IF('Оголошення закупівлі'!$B$21-SUM($B16:I16)&gt;0,'Оголошення закупівлі'!$B$21-SUM($B16:I16),0))</f>
        <v>0</v>
      </c>
      <c r="K16" s="16">
        <f>IF('Оголошення закупівлі'!$B21-SUM($B16:J16)&gt;365,365,IF('Оголошення закупівлі'!$B$21-SUM($B16:J16)&gt;0,'Оголошення закупівлі'!$B$21-SUM($B16:J16),0))</f>
        <v>0</v>
      </c>
      <c r="L16" s="16">
        <f>IF('Оголошення закупівлі'!$B21-SUM($B16:K16)&gt;365,365,IF('Оголошення закупівлі'!$B$21-SUM($B16:K16)&gt;0,'Оголошення закупівлі'!$B$21-SUM($B16:K16),0))</f>
        <v>0</v>
      </c>
      <c r="M16" s="16">
        <f>IF('Оголошення закупівлі'!$B21-SUM($B16:L16)&gt;365,365,IF('Оголошення закупівлі'!$B$21-SUM($B16:L16)&gt;0,'Оголошення закупівлі'!$B$21-SUM($B16:L16),0))</f>
        <v>0</v>
      </c>
      <c r="N16" s="16">
        <f>IF('Оголошення закупівлі'!$B21-SUM($B16:M16)&gt;365,365,IF('Оголошення закупівлі'!$B$21-SUM($B16:M16)&gt;0,'Оголошення закупівлі'!$B$21-SUM($B16:M16),0))</f>
        <v>0</v>
      </c>
      <c r="O16" s="16">
        <f>IF('Оголошення закупівлі'!$B21-SUM($B16:N16)&gt;365,365,IF('Оголошення закупівлі'!$B$21-SUM($B16:N16)&gt;0,'Оголошення закупівлі'!$B$21-SUM($B16:N16),0))</f>
        <v>0</v>
      </c>
      <c r="P16" s="16">
        <f>IF('Оголошення закупівлі'!$B21-SUM($B16:O16)&gt;365,365,IF('Оголошення закупівлі'!$B$21-SUM($B16:O16)&gt;0,'Оголошення закупівлі'!$B$21-SUM($B16:O16),0))</f>
        <v>0</v>
      </c>
      <c r="Q16" s="16">
        <f>IF('Оголошення закупівлі'!$B21-SUM($B16:P16)&gt;365,365,IF('Оголошення закупівлі'!$B$21-SUM($B16:P16)&gt;0,'Оголошення закупівлі'!$B$21-SUM($B16:P16),0))</f>
        <v>0</v>
      </c>
      <c r="R16" s="7">
        <f>IF('Оголошення закупівлі'!$B21-SUM($B16:Q16)&gt;365,365,IF('Оголошення закупівлі'!$B$21-SUM($B16:Q16)&gt;0,'Оголошення закупівлі'!$B$21-SUM($B16:Q16),0))</f>
        <v>0</v>
      </c>
      <c r="S16" s="7">
        <f>IF('Оголошення закупівлі'!$B21-SUM($B16:R16)&gt;365,365,IF('Оголошення закупівлі'!$B$21-SUM($B16:R16)&gt;0,'Оголошення закупівлі'!$B$21-SUM($B16:R16),0))</f>
        <v>0</v>
      </c>
      <c r="T16" s="7">
        <f>IF('Оголошення закупівлі'!$B21-SUM($B16:S16)&gt;365,365,IF('Оголошення закупівлі'!$B$21-SUM($B16:S16)&gt;0,'Оголошення закупівлі'!$B$21-SUM($B16:S16),0))</f>
        <v>0</v>
      </c>
      <c r="U16" s="7">
        <f>IF('Оголошення закупівлі'!$B21-SUM($B16:T16)&gt;365,365,IF('Оголошення закупівлі'!$B$21-SUM($B16:T16)&gt;0,'Оголошення закупівлі'!$B$21-SUM($B16:T16),0))</f>
        <v>0</v>
      </c>
      <c r="V16" s="7">
        <f>IF('Оголошення закупівлі'!$B21-SUM($B16:U16)&gt;365,365,IF('Оголошення закупівлі'!$B$21-SUM($B16:U16)&gt;0,'Оголошення закупівлі'!$B$21-SUM($B16:U16),0))</f>
        <v>0</v>
      </c>
      <c r="W16" s="19" t="s">
        <v>13</v>
      </c>
    </row>
    <row r="17" spans="1:23" ht="31.5" x14ac:dyDescent="0.5">
      <c r="A17" s="7" t="s">
        <v>63</v>
      </c>
      <c r="B17" s="21">
        <f>IF(B16&gt;0,Аукціон!$C$24*B8*B16/B11,0)</f>
        <v>0</v>
      </c>
      <c r="C17" s="21">
        <f>IF(C16&gt;0,Аукціон!$C$24*C8*C16/C11,0)</f>
        <v>86521.31363834998</v>
      </c>
      <c r="D17" s="21">
        <f>IF(D16&gt;0,Аукціон!$C$24*D8*D16/D11,0)</f>
        <v>143958.263958</v>
      </c>
      <c r="E17" s="21">
        <f>IF(E16&gt;0,Аукціон!$C$24*E8*E16/E11,0)</f>
        <v>143958.263958</v>
      </c>
      <c r="F17" s="21">
        <f>IF(F16&gt;0,Аукціон!$C$24*F8*F16/F11,0)</f>
        <v>143958.263958</v>
      </c>
      <c r="G17" s="21">
        <f>IF(G16&gt;0,Аукціон!$C$24*G8*G16/G11,0)</f>
        <v>143958.263958</v>
      </c>
      <c r="H17" s="21">
        <f>IF(H16&gt;0,Аукціон!$C$24*H8*H16/H11,0)</f>
        <v>128182.01585301368</v>
      </c>
      <c r="I17" s="21">
        <f>IF(I16&gt;0,Аукціон!$C$24*I8*I16/I11,0)</f>
        <v>0</v>
      </c>
      <c r="J17" s="21">
        <f>IF(J16&gt;0,Аукціон!$C$24*J8*J16/J11,0)</f>
        <v>0</v>
      </c>
      <c r="K17" s="21">
        <f>IF(K16&gt;0,Аукціон!$C$24*K8*K16/K11,0)</f>
        <v>0</v>
      </c>
      <c r="L17" s="21">
        <f>IF(L16&gt;0,Аукціон!$C$24*L8*L16/L11,0)</f>
        <v>0</v>
      </c>
      <c r="M17" s="21">
        <f>IF(M16&gt;0,Аукціон!$C$24*M8*M16/M11,0)</f>
        <v>0</v>
      </c>
      <c r="N17" s="21">
        <f>IF(N16&gt;0,Аукціон!$C$24*N8*N16/N11,0)</f>
        <v>0</v>
      </c>
      <c r="O17" s="21">
        <f>IF(O16&gt;0,Аукціон!$C$24*O8*O16/O11,0)</f>
        <v>0</v>
      </c>
      <c r="P17" s="21">
        <f>IF(P16&gt;0,Аукціон!$C$24*P8*P16/P11,0)</f>
        <v>0</v>
      </c>
      <c r="Q17" s="21">
        <f>IF(Q16&gt;0,Аукціон!$C$24*Q8*Q16/Q11,0)</f>
        <v>0</v>
      </c>
      <c r="R17" s="21">
        <f>IF(R16&gt;0,Аукціон!$C$24*R8*R16/R11,0)</f>
        <v>0</v>
      </c>
      <c r="S17" s="21">
        <f>IF(S16&gt;0,Аукціон!$C$24*S8*S16/S11,0)</f>
        <v>0</v>
      </c>
      <c r="T17" s="21">
        <f>IF(T16&gt;0,Аукціон!$C$24*T8*T16/T11,0)</f>
        <v>0</v>
      </c>
      <c r="U17" s="21">
        <f>IF(U16&gt;0,Аукціон!$C$24*U8*U16/U11,0)</f>
        <v>0</v>
      </c>
      <c r="V17" s="21">
        <f>IF(V16&gt;0,Аукціон!$C$24*V8*V16/V11,0)</f>
        <v>0</v>
      </c>
      <c r="W17" s="22">
        <f>SUM(B17:V17)</f>
        <v>790536.38532336371</v>
      </c>
    </row>
    <row r="18" spans="1:23" ht="18.75" x14ac:dyDescent="0.3">
      <c r="A18" s="7" t="s">
        <v>62</v>
      </c>
      <c r="B18" s="23">
        <f>B8*B11/B7-B17</f>
        <v>0</v>
      </c>
      <c r="C18" s="23">
        <f t="shared" ref="C18:J18" si="6">C8*C11/C7-C17</f>
        <v>2675.9169166500069</v>
      </c>
      <c r="D18" s="23">
        <f t="shared" si="6"/>
        <v>4452.3174419999996</v>
      </c>
      <c r="E18" s="23">
        <f t="shared" si="6"/>
        <v>4452.3174419999996</v>
      </c>
      <c r="F18" s="23">
        <f t="shared" si="6"/>
        <v>4452.3174419999996</v>
      </c>
      <c r="G18" s="23">
        <f t="shared" si="6"/>
        <v>4452.3174419999996</v>
      </c>
      <c r="H18" s="23">
        <f t="shared" si="6"/>
        <v>20228.565546986312</v>
      </c>
      <c r="I18" s="23">
        <f t="shared" si="6"/>
        <v>148410.5814</v>
      </c>
      <c r="J18" s="23">
        <f t="shared" si="6"/>
        <v>148410.5814</v>
      </c>
      <c r="K18" s="23">
        <f t="shared" ref="K18:V18" si="7">K8*K11/K7-K17</f>
        <v>148410.5814</v>
      </c>
      <c r="L18" s="23">
        <f t="shared" si="7"/>
        <v>148410.5814</v>
      </c>
      <c r="M18" s="23">
        <f t="shared" si="7"/>
        <v>148410.5814</v>
      </c>
      <c r="N18" s="23">
        <f t="shared" si="7"/>
        <v>148410.5814</v>
      </c>
      <c r="O18" s="23">
        <f t="shared" si="7"/>
        <v>148410.5814</v>
      </c>
      <c r="P18" s="23">
        <f t="shared" si="7"/>
        <v>148410.5814</v>
      </c>
      <c r="Q18" s="23">
        <f t="shared" si="7"/>
        <v>148410.5814</v>
      </c>
      <c r="R18" s="23">
        <f t="shared" si="7"/>
        <v>148410.5814</v>
      </c>
      <c r="S18" s="23">
        <f t="shared" si="7"/>
        <v>148410.5814</v>
      </c>
      <c r="T18" s="23">
        <f t="shared" si="7"/>
        <v>148410.5814</v>
      </c>
      <c r="U18" s="23">
        <f t="shared" si="7"/>
        <v>148410.5814</v>
      </c>
      <c r="V18" s="23">
        <f t="shared" si="7"/>
        <v>132146.40809589039</v>
      </c>
      <c r="W18" s="19" t="s">
        <v>14</v>
      </c>
    </row>
    <row r="19" spans="1:23" ht="31.5" x14ac:dyDescent="0.5">
      <c r="A19" s="7" t="s">
        <v>15</v>
      </c>
      <c r="B19" s="24">
        <f t="shared" ref="B19:V19" si="8">B18*B14</f>
        <v>0</v>
      </c>
      <c r="C19" s="24">
        <f t="shared" si="8"/>
        <v>2323.2644660308956</v>
      </c>
      <c r="D19" s="24">
        <f t="shared" si="8"/>
        <v>3405.7775982171461</v>
      </c>
      <c r="E19" s="24">
        <f t="shared" si="8"/>
        <v>3000.6851085613621</v>
      </c>
      <c r="F19" s="24">
        <f t="shared" si="8"/>
        <v>2643.775426045253</v>
      </c>
      <c r="G19" s="24">
        <f t="shared" si="8"/>
        <v>2329.3175559870069</v>
      </c>
      <c r="H19" s="24">
        <f t="shared" si="8"/>
        <v>9324.2048084286744</v>
      </c>
      <c r="I19" s="24">
        <f t="shared" si="8"/>
        <v>60272.016559917902</v>
      </c>
      <c r="J19" s="24">
        <f t="shared" si="8"/>
        <v>53103.098290676571</v>
      </c>
      <c r="K19" s="24">
        <f t="shared" si="8"/>
        <v>46786.8707406842</v>
      </c>
      <c r="L19" s="24">
        <f t="shared" si="8"/>
        <v>41221.912546858322</v>
      </c>
      <c r="M19" s="24">
        <f t="shared" si="8"/>
        <v>36318.865680051378</v>
      </c>
      <c r="N19" s="24">
        <f t="shared" si="8"/>
        <v>31999.00059916421</v>
      </c>
      <c r="O19" s="24">
        <f t="shared" si="8"/>
        <v>28192.952069748204</v>
      </c>
      <c r="P19" s="24">
        <f t="shared" si="8"/>
        <v>24839.605347795776</v>
      </c>
      <c r="Q19" s="24">
        <f t="shared" si="8"/>
        <v>21885.114843872929</v>
      </c>
      <c r="R19" s="24">
        <f t="shared" si="8"/>
        <v>19282.039510020204</v>
      </c>
      <c r="S19" s="24">
        <f t="shared" si="8"/>
        <v>16988.581066097096</v>
      </c>
      <c r="T19" s="24">
        <f t="shared" si="8"/>
        <v>14967.912833565724</v>
      </c>
      <c r="U19" s="24">
        <f t="shared" si="8"/>
        <v>13187.588399617378</v>
      </c>
      <c r="V19" s="24">
        <f t="shared" si="8"/>
        <v>10482.338685113171</v>
      </c>
      <c r="W19" s="25">
        <f t="shared" ref="W19" si="9">SUM(B19:V19)</f>
        <v>442554.92213645339</v>
      </c>
    </row>
    <row r="20" spans="1:23" x14ac:dyDescent="0.25"/>
    <row r="21" spans="1:23" x14ac:dyDescent="0.25">
      <c r="I21" s="29"/>
    </row>
    <row r="22" spans="1:23" ht="36" x14ac:dyDescent="0.55000000000000004">
      <c r="A22" s="165" t="s">
        <v>88</v>
      </c>
    </row>
    <row r="23" spans="1:23" x14ac:dyDescent="0.25">
      <c r="A23" s="7" t="s">
        <v>0</v>
      </c>
      <c r="B23" s="201">
        <f>startDate</f>
        <v>43061</v>
      </c>
      <c r="C23" s="202"/>
    </row>
    <row r="24" spans="1:23" x14ac:dyDescent="0.25">
      <c r="F24" s="6"/>
    </row>
    <row r="25" spans="1:23" x14ac:dyDescent="0.25">
      <c r="A25" s="7" t="s">
        <v>2</v>
      </c>
      <c r="B25" s="7">
        <v>1</v>
      </c>
      <c r="C25" s="7">
        <f t="shared" ref="C25" si="10">B25+1</f>
        <v>2</v>
      </c>
      <c r="D25" s="7">
        <f t="shared" ref="D25" si="11">C25+1</f>
        <v>3</v>
      </c>
      <c r="E25" s="7">
        <f t="shared" ref="E25" si="12">D25+1</f>
        <v>4</v>
      </c>
      <c r="F25" s="7">
        <f t="shared" ref="F25" si="13">E25+1</f>
        <v>5</v>
      </c>
      <c r="G25" s="7">
        <f t="shared" ref="G25" si="14">F25+1</f>
        <v>6</v>
      </c>
      <c r="H25" s="7">
        <f t="shared" ref="H25" si="15">G25+1</f>
        <v>7</v>
      </c>
      <c r="I25" s="7">
        <f t="shared" ref="I25" si="16">H25+1</f>
        <v>8</v>
      </c>
      <c r="J25" s="7">
        <f t="shared" ref="J25" si="17">I25+1</f>
        <v>9</v>
      </c>
      <c r="K25" s="7">
        <f t="shared" ref="K25" si="18">J25+1</f>
        <v>10</v>
      </c>
      <c r="L25" s="7">
        <f t="shared" ref="L25" si="19">K25+1</f>
        <v>11</v>
      </c>
      <c r="M25" s="7">
        <f t="shared" ref="M25" si="20">L25+1</f>
        <v>12</v>
      </c>
      <c r="N25" s="7">
        <f t="shared" ref="N25" si="21">M25+1</f>
        <v>13</v>
      </c>
      <c r="O25" s="7">
        <f t="shared" ref="O25" si="22">N25+1</f>
        <v>14</v>
      </c>
      <c r="P25" s="7">
        <f t="shared" ref="P25" si="23">O25+1</f>
        <v>15</v>
      </c>
      <c r="Q25" s="7">
        <f t="shared" ref="Q25" si="24">P25+1</f>
        <v>16</v>
      </c>
      <c r="R25" s="7">
        <f t="shared" ref="R25" si="25">Q25+1</f>
        <v>17</v>
      </c>
      <c r="S25" s="7">
        <f t="shared" ref="S25" si="26">R25+1</f>
        <v>18</v>
      </c>
      <c r="T25" s="7">
        <f t="shared" ref="T25" si="27">S25+1</f>
        <v>19</v>
      </c>
      <c r="U25" s="7">
        <f t="shared" ref="U25" si="28">T25+1</f>
        <v>20</v>
      </c>
      <c r="V25" s="7">
        <f t="shared" ref="V25" si="29">U25+1</f>
        <v>21</v>
      </c>
    </row>
    <row r="26" spans="1:23" x14ac:dyDescent="0.25">
      <c r="A26" s="7" t="s">
        <v>3</v>
      </c>
      <c r="B26" s="7">
        <f t="shared" ref="B26:V26" si="30">YEAR(startDate)-1+B25</f>
        <v>2017</v>
      </c>
      <c r="C26" s="7">
        <f t="shared" si="30"/>
        <v>2018</v>
      </c>
      <c r="D26" s="7">
        <f t="shared" si="30"/>
        <v>2019</v>
      </c>
      <c r="E26" s="7">
        <f t="shared" si="30"/>
        <v>2020</v>
      </c>
      <c r="F26" s="7">
        <f t="shared" si="30"/>
        <v>2021</v>
      </c>
      <c r="G26" s="7">
        <f t="shared" si="30"/>
        <v>2022</v>
      </c>
      <c r="H26" s="7">
        <f t="shared" si="30"/>
        <v>2023</v>
      </c>
      <c r="I26" s="7">
        <f t="shared" si="30"/>
        <v>2024</v>
      </c>
      <c r="J26" s="7">
        <f t="shared" si="30"/>
        <v>2025</v>
      </c>
      <c r="K26" s="7">
        <f t="shared" si="30"/>
        <v>2026</v>
      </c>
      <c r="L26" s="7">
        <f t="shared" si="30"/>
        <v>2027</v>
      </c>
      <c r="M26" s="7">
        <f t="shared" si="30"/>
        <v>2028</v>
      </c>
      <c r="N26" s="7">
        <f t="shared" si="30"/>
        <v>2029</v>
      </c>
      <c r="O26" s="7">
        <f t="shared" si="30"/>
        <v>2030</v>
      </c>
      <c r="P26" s="7">
        <f t="shared" si="30"/>
        <v>2031</v>
      </c>
      <c r="Q26" s="7">
        <f t="shared" si="30"/>
        <v>2032</v>
      </c>
      <c r="R26" s="7">
        <f t="shared" si="30"/>
        <v>2033</v>
      </c>
      <c r="S26" s="7">
        <f t="shared" si="30"/>
        <v>2034</v>
      </c>
      <c r="T26" s="7">
        <f t="shared" si="30"/>
        <v>2035</v>
      </c>
      <c r="U26" s="7">
        <f t="shared" si="30"/>
        <v>2036</v>
      </c>
      <c r="V26" s="7">
        <f t="shared" si="30"/>
        <v>2037</v>
      </c>
    </row>
    <row r="27" spans="1:23" x14ac:dyDescent="0.25">
      <c r="A27" s="10" t="s">
        <v>4</v>
      </c>
      <c r="B27" s="10">
        <v>365</v>
      </c>
      <c r="C27" s="10">
        <v>365</v>
      </c>
      <c r="D27" s="10">
        <v>365</v>
      </c>
      <c r="E27" s="10">
        <v>365</v>
      </c>
      <c r="F27" s="10">
        <v>365</v>
      </c>
      <c r="G27" s="10">
        <v>365</v>
      </c>
      <c r="H27" s="10">
        <v>365</v>
      </c>
      <c r="I27" s="10">
        <v>365</v>
      </c>
      <c r="J27" s="10">
        <v>365</v>
      </c>
      <c r="K27" s="10">
        <v>365</v>
      </c>
      <c r="L27" s="10">
        <v>365</v>
      </c>
      <c r="M27" s="10">
        <v>365</v>
      </c>
      <c r="N27" s="10">
        <v>365</v>
      </c>
      <c r="O27" s="10">
        <v>365</v>
      </c>
      <c r="P27" s="10">
        <v>365</v>
      </c>
      <c r="Q27" s="10">
        <v>365</v>
      </c>
      <c r="R27" s="10">
        <v>365</v>
      </c>
      <c r="S27" s="10">
        <v>365</v>
      </c>
      <c r="T27" s="10">
        <v>365</v>
      </c>
      <c r="U27" s="10">
        <v>365</v>
      </c>
      <c r="V27" s="10">
        <v>365</v>
      </c>
    </row>
    <row r="28" spans="1:23" ht="45" x14ac:dyDescent="0.25">
      <c r="A28" s="10" t="s">
        <v>6</v>
      </c>
      <c r="B28" s="11">
        <f>MROUND(YEARFRAC("31.12.2017",B23)*365,1)</f>
        <v>40</v>
      </c>
      <c r="C28" s="10">
        <f t="shared" ref="C28:V28" si="31">C27</f>
        <v>365</v>
      </c>
      <c r="D28" s="10">
        <f t="shared" si="31"/>
        <v>365</v>
      </c>
      <c r="E28" s="10">
        <f t="shared" si="31"/>
        <v>365</v>
      </c>
      <c r="F28" s="10">
        <f t="shared" si="31"/>
        <v>365</v>
      </c>
      <c r="G28" s="10">
        <f t="shared" si="31"/>
        <v>365</v>
      </c>
      <c r="H28" s="10">
        <f t="shared" si="31"/>
        <v>365</v>
      </c>
      <c r="I28" s="10">
        <f t="shared" si="31"/>
        <v>365</v>
      </c>
      <c r="J28" s="10">
        <f t="shared" si="31"/>
        <v>365</v>
      </c>
      <c r="K28" s="10">
        <f t="shared" si="31"/>
        <v>365</v>
      </c>
      <c r="L28" s="10">
        <f t="shared" si="31"/>
        <v>365</v>
      </c>
      <c r="M28" s="10">
        <f t="shared" si="31"/>
        <v>365</v>
      </c>
      <c r="N28" s="10">
        <f t="shared" si="31"/>
        <v>365</v>
      </c>
      <c r="O28" s="10">
        <f t="shared" si="31"/>
        <v>365</v>
      </c>
      <c r="P28" s="10">
        <f t="shared" si="31"/>
        <v>365</v>
      </c>
      <c r="Q28" s="10">
        <f t="shared" si="31"/>
        <v>365</v>
      </c>
      <c r="R28" s="10">
        <f t="shared" si="31"/>
        <v>365</v>
      </c>
      <c r="S28" s="10">
        <f t="shared" si="31"/>
        <v>365</v>
      </c>
      <c r="T28" s="10">
        <f t="shared" si="31"/>
        <v>365</v>
      </c>
      <c r="U28" s="10">
        <f t="shared" si="31"/>
        <v>365</v>
      </c>
      <c r="V28" s="10">
        <f t="shared" si="31"/>
        <v>365</v>
      </c>
    </row>
    <row r="29" spans="1:23" x14ac:dyDescent="0.25">
      <c r="A29" s="7" t="s">
        <v>61</v>
      </c>
      <c r="B29" s="13">
        <f>VLOOKUP(B$5,'Скорочення споживання ПЕР'!$A$59:$P$79,16,0)</f>
        <v>0</v>
      </c>
      <c r="C29" s="13">
        <f>VLOOKUP(C$5,'Скорочення споживання ПЕР'!$A$59:$P$79,16,0)</f>
        <v>89197.230554999987</v>
      </c>
      <c r="D29" s="13">
        <f>VLOOKUP(D$5,'Скорочення споживання ПЕР'!$A$59:$P$79,16,0)</f>
        <v>148410.5814</v>
      </c>
      <c r="E29" s="13">
        <f>VLOOKUP(E$5,'Скорочення споживання ПЕР'!$A$59:$P$79,16,0)</f>
        <v>148410.5814</v>
      </c>
      <c r="F29" s="13">
        <f>VLOOKUP(F$5,'Скорочення споживання ПЕР'!$A$59:$P$79,16,0)</f>
        <v>148410.5814</v>
      </c>
      <c r="G29" s="13">
        <f>VLOOKUP(G$5,'Скорочення споживання ПЕР'!$A$59:$P$79,16,0)</f>
        <v>148410.5814</v>
      </c>
      <c r="H29" s="13">
        <f>VLOOKUP(H$5,'Скорочення споживання ПЕР'!$A$59:$P$79,16,0)</f>
        <v>148410.5814</v>
      </c>
      <c r="I29" s="13">
        <f>VLOOKUP(I$5,'Скорочення споживання ПЕР'!$A$59:$P$79,16,0)</f>
        <v>148410.5814</v>
      </c>
      <c r="J29" s="13">
        <f>VLOOKUP(J$5,'Скорочення споживання ПЕР'!$A$59:$P$79,16,0)</f>
        <v>148410.5814</v>
      </c>
      <c r="K29" s="13">
        <f>VLOOKUP(K$5,'Скорочення споживання ПЕР'!$A$59:$P$79,16,0)</f>
        <v>148410.5814</v>
      </c>
      <c r="L29" s="13">
        <f>VLOOKUP(L$5,'Скорочення споживання ПЕР'!$A$59:$P$79,16,0)</f>
        <v>148410.5814</v>
      </c>
      <c r="M29" s="13">
        <f>VLOOKUP(M$5,'Скорочення споживання ПЕР'!$A$59:$P$79,16,0)</f>
        <v>148410.5814</v>
      </c>
      <c r="N29" s="13">
        <f>VLOOKUP(N$5,'Скорочення споживання ПЕР'!$A$59:$P$79,16,0)</f>
        <v>148410.5814</v>
      </c>
      <c r="O29" s="13">
        <f>VLOOKUP(O$5,'Скорочення споживання ПЕР'!$A$59:$P$79,16,0)</f>
        <v>148410.5814</v>
      </c>
      <c r="P29" s="13">
        <f>VLOOKUP(P$5,'Скорочення споживання ПЕР'!$A$59:$P$79,16,0)</f>
        <v>148410.5814</v>
      </c>
      <c r="Q29" s="13">
        <f>VLOOKUP(Q$5,'Скорочення споживання ПЕР'!$A$59:$P$79,16,0)</f>
        <v>148410.5814</v>
      </c>
      <c r="R29" s="13">
        <f>VLOOKUP(R$5,'Скорочення споживання ПЕР'!$A$59:$P$79,16,0)</f>
        <v>148410.5814</v>
      </c>
      <c r="S29" s="13">
        <f>VLOOKUP(S$5,'Скорочення споживання ПЕР'!$A$59:$P$79,16,0)</f>
        <v>148410.5814</v>
      </c>
      <c r="T29" s="13">
        <f>VLOOKUP(T$5,'Скорочення споживання ПЕР'!$A$59:$P$79,16,0)</f>
        <v>148410.5814</v>
      </c>
      <c r="U29" s="13">
        <f>VLOOKUP(U$5,'Скорочення споживання ПЕР'!$A$59:$P$79,16,0)</f>
        <v>148410.5814</v>
      </c>
      <c r="V29" s="13">
        <f>VLOOKUP(V$5,'Скорочення споживання ПЕР'!$A$59:$P$79,16,0)</f>
        <v>148410.5814</v>
      </c>
    </row>
    <row r="32" spans="1:23" ht="30" x14ac:dyDescent="0.25">
      <c r="A32" s="10" t="s">
        <v>9</v>
      </c>
      <c r="B32" s="15">
        <f t="shared" ref="B32:U32" si="32">B28</f>
        <v>40</v>
      </c>
      <c r="C32" s="7">
        <f t="shared" si="32"/>
        <v>365</v>
      </c>
      <c r="D32" s="7">
        <f t="shared" si="32"/>
        <v>365</v>
      </c>
      <c r="E32" s="7">
        <f t="shared" si="32"/>
        <v>365</v>
      </c>
      <c r="F32" s="7">
        <f t="shared" si="32"/>
        <v>365</v>
      </c>
      <c r="G32" s="7">
        <f t="shared" si="32"/>
        <v>365</v>
      </c>
      <c r="H32" s="7">
        <f t="shared" si="32"/>
        <v>365</v>
      </c>
      <c r="I32" s="7">
        <f t="shared" si="32"/>
        <v>365</v>
      </c>
      <c r="J32" s="7">
        <f t="shared" si="32"/>
        <v>365</v>
      </c>
      <c r="K32" s="7">
        <f t="shared" si="32"/>
        <v>365</v>
      </c>
      <c r="L32" s="7">
        <f t="shared" si="32"/>
        <v>365</v>
      </c>
      <c r="M32" s="7">
        <f t="shared" si="32"/>
        <v>365</v>
      </c>
      <c r="N32" s="7">
        <f t="shared" si="32"/>
        <v>365</v>
      </c>
      <c r="O32" s="7">
        <f t="shared" si="32"/>
        <v>365</v>
      </c>
      <c r="P32" s="7">
        <f t="shared" si="32"/>
        <v>365</v>
      </c>
      <c r="Q32" s="7">
        <f t="shared" si="32"/>
        <v>365</v>
      </c>
      <c r="R32" s="7">
        <f t="shared" si="32"/>
        <v>365</v>
      </c>
      <c r="S32" s="7">
        <f t="shared" si="32"/>
        <v>365</v>
      </c>
      <c r="T32" s="7">
        <f t="shared" si="32"/>
        <v>365</v>
      </c>
      <c r="U32" s="7">
        <f t="shared" si="32"/>
        <v>365</v>
      </c>
      <c r="V32" s="16">
        <f>365-B32</f>
        <v>325</v>
      </c>
    </row>
    <row r="33" spans="1:23" ht="30" x14ac:dyDescent="0.25">
      <c r="A33" s="10" t="s">
        <v>11</v>
      </c>
      <c r="B33" s="17">
        <f t="shared" ref="B33:V33" si="33">NBUdiscountRate*B32/B27</f>
        <v>1.4794520547945207E-2</v>
      </c>
      <c r="C33" s="17">
        <f t="shared" si="33"/>
        <v>0.13500000000000001</v>
      </c>
      <c r="D33" s="17">
        <f t="shared" si="33"/>
        <v>0.13500000000000001</v>
      </c>
      <c r="E33" s="17">
        <f t="shared" si="33"/>
        <v>0.13500000000000001</v>
      </c>
      <c r="F33" s="17">
        <f t="shared" si="33"/>
        <v>0.13500000000000001</v>
      </c>
      <c r="G33" s="17">
        <f t="shared" si="33"/>
        <v>0.13500000000000001</v>
      </c>
      <c r="H33" s="17">
        <f t="shared" si="33"/>
        <v>0.13500000000000001</v>
      </c>
      <c r="I33" s="17">
        <f t="shared" si="33"/>
        <v>0.13500000000000001</v>
      </c>
      <c r="J33" s="17">
        <f t="shared" si="33"/>
        <v>0.13500000000000001</v>
      </c>
      <c r="K33" s="17">
        <f t="shared" si="33"/>
        <v>0.13500000000000001</v>
      </c>
      <c r="L33" s="17">
        <f t="shared" si="33"/>
        <v>0.13500000000000001</v>
      </c>
      <c r="M33" s="17">
        <f t="shared" si="33"/>
        <v>0.13500000000000001</v>
      </c>
      <c r="N33" s="17">
        <f t="shared" si="33"/>
        <v>0.13500000000000001</v>
      </c>
      <c r="O33" s="17">
        <f t="shared" si="33"/>
        <v>0.13500000000000001</v>
      </c>
      <c r="P33" s="17">
        <f t="shared" si="33"/>
        <v>0.13500000000000001</v>
      </c>
      <c r="Q33" s="17">
        <f t="shared" si="33"/>
        <v>0.13500000000000001</v>
      </c>
      <c r="R33" s="17">
        <f t="shared" si="33"/>
        <v>0.13500000000000001</v>
      </c>
      <c r="S33" s="17">
        <f t="shared" si="33"/>
        <v>0.13500000000000001</v>
      </c>
      <c r="T33" s="17">
        <f t="shared" si="33"/>
        <v>0.13500000000000001</v>
      </c>
      <c r="U33" s="17">
        <f t="shared" si="33"/>
        <v>0.13500000000000001</v>
      </c>
      <c r="V33" s="17">
        <f t="shared" si="33"/>
        <v>0.1202054794520548</v>
      </c>
    </row>
    <row r="34" spans="1:23" x14ac:dyDescent="0.25">
      <c r="A34" s="10" t="s">
        <v>10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3" x14ac:dyDescent="0.25">
      <c r="A35" s="10">
        <v>1</v>
      </c>
      <c r="B35" s="18">
        <f t="shared" ref="B35" si="34">A35/(1+B33)</f>
        <v>0.98542116630669552</v>
      </c>
      <c r="C35" s="18">
        <f t="shared" ref="C35" si="35">B35/(1+C33)</f>
        <v>0.86821248132748507</v>
      </c>
      <c r="D35" s="18">
        <f t="shared" ref="D35" si="36">C35/(1+D33)</f>
        <v>0.76494491746914983</v>
      </c>
      <c r="E35" s="18">
        <f t="shared" ref="E35" si="37">D35/(1+E33)</f>
        <v>0.67396027970850203</v>
      </c>
      <c r="F35" s="18">
        <f t="shared" ref="F35" si="38">E35/(1+F33)</f>
        <v>0.59379760326740272</v>
      </c>
      <c r="G35" s="18">
        <f t="shared" ref="G35" si="39">F35/(1+G33)</f>
        <v>0.52316969450872486</v>
      </c>
      <c r="H35" s="18">
        <f t="shared" ref="H35" si="40">G35/(1+H33)</f>
        <v>0.46094246212222456</v>
      </c>
      <c r="I35" s="18">
        <f t="shared" ref="I35" si="41">H35/(1+I33)</f>
        <v>0.40611670671561634</v>
      </c>
      <c r="J35" s="18">
        <f t="shared" ref="J35" si="42">I35/(1+J33)</f>
        <v>0.3578120764014241</v>
      </c>
      <c r="K35" s="18">
        <f t="shared" ref="K35" si="43">J35/(1+K33)</f>
        <v>0.31525293075015337</v>
      </c>
      <c r="L35" s="18">
        <f t="shared" ref="L35" si="44">K35/(1+L33)</f>
        <v>0.27775588612348312</v>
      </c>
      <c r="M35" s="18">
        <f t="shared" ref="M35" si="45">L35/(1+M33)</f>
        <v>0.24471884239954458</v>
      </c>
      <c r="N35" s="18">
        <f t="shared" ref="N35" si="46">M35/(1+N33)</f>
        <v>0.21561131488946658</v>
      </c>
      <c r="O35" s="18">
        <f t="shared" ref="O35" si="47">N35/(1+O33)</f>
        <v>0.18996591620217321</v>
      </c>
      <c r="P35" s="18">
        <f t="shared" ref="P35" si="48">O35/(1+P33)</f>
        <v>0.16737085127944776</v>
      </c>
      <c r="Q35" s="18">
        <f t="shared" ref="Q35" si="49">P35/(1+Q33)</f>
        <v>0.14746330509202446</v>
      </c>
      <c r="R35" s="18">
        <f t="shared" ref="R35" si="50">Q35/(1+R33)</f>
        <v>0.12992361682116693</v>
      </c>
      <c r="S35" s="18">
        <f t="shared" ref="S35" si="51">R35/(1+S33)</f>
        <v>0.11447014697900171</v>
      </c>
      <c r="T35" s="18">
        <f t="shared" ref="T35" si="52">S35/(1+T33)</f>
        <v>0.1008547550475786</v>
      </c>
      <c r="U35" s="18">
        <f t="shared" ref="U35" si="53">T35/(1+U33)</f>
        <v>8.8858815019893039E-2</v>
      </c>
      <c r="V35" s="18">
        <f t="shared" ref="V35" si="54">U35/(1+V33)</f>
        <v>7.9323674673826866E-2</v>
      </c>
    </row>
    <row r="37" spans="1:23" ht="30.75" x14ac:dyDescent="0.3">
      <c r="A37" s="10" t="s">
        <v>12</v>
      </c>
      <c r="B37" s="16">
        <f>B16</f>
        <v>40</v>
      </c>
      <c r="C37" s="16">
        <f t="shared" ref="C37:V37" si="55">C16</f>
        <v>365</v>
      </c>
      <c r="D37" s="16">
        <f t="shared" si="55"/>
        <v>365</v>
      </c>
      <c r="E37" s="16">
        <f t="shared" si="55"/>
        <v>365</v>
      </c>
      <c r="F37" s="16">
        <f t="shared" si="55"/>
        <v>365</v>
      </c>
      <c r="G37" s="16">
        <f t="shared" si="55"/>
        <v>365</v>
      </c>
      <c r="H37" s="16">
        <f t="shared" si="55"/>
        <v>325</v>
      </c>
      <c r="I37" s="16">
        <f t="shared" si="55"/>
        <v>0</v>
      </c>
      <c r="J37" s="16">
        <f t="shared" si="55"/>
        <v>0</v>
      </c>
      <c r="K37" s="16">
        <f t="shared" si="55"/>
        <v>0</v>
      </c>
      <c r="L37" s="16">
        <f t="shared" si="55"/>
        <v>0</v>
      </c>
      <c r="M37" s="16">
        <f t="shared" si="55"/>
        <v>0</v>
      </c>
      <c r="N37" s="16">
        <f t="shared" si="55"/>
        <v>0</v>
      </c>
      <c r="O37" s="16">
        <f t="shared" si="55"/>
        <v>0</v>
      </c>
      <c r="P37" s="16">
        <f t="shared" si="55"/>
        <v>0</v>
      </c>
      <c r="Q37" s="16">
        <f t="shared" si="55"/>
        <v>0</v>
      </c>
      <c r="R37" s="16">
        <f t="shared" si="55"/>
        <v>0</v>
      </c>
      <c r="S37" s="16">
        <f t="shared" si="55"/>
        <v>0</v>
      </c>
      <c r="T37" s="16">
        <f t="shared" si="55"/>
        <v>0</v>
      </c>
      <c r="U37" s="16">
        <f t="shared" si="55"/>
        <v>0</v>
      </c>
      <c r="V37" s="16">
        <f t="shared" si="55"/>
        <v>0</v>
      </c>
      <c r="W37" s="19" t="s">
        <v>13</v>
      </c>
    </row>
    <row r="38" spans="1:23" ht="31.5" x14ac:dyDescent="0.5">
      <c r="A38" s="7" t="s">
        <v>63</v>
      </c>
      <c r="B38" s="21">
        <f>IF(B37&gt;0,Аукціон!$C$39*B29*B37/B32,0)</f>
        <v>0</v>
      </c>
      <c r="C38" s="21">
        <f>IF(C37&gt;0,Аукціон!$C$39*C29*C37/C32,0)</f>
        <v>84737.369027249981</v>
      </c>
      <c r="D38" s="21">
        <f>IF(D37&gt;0,Аукціон!$C$39*D29*D37/D32,0)</f>
        <v>140990.05232999998</v>
      </c>
      <c r="E38" s="21">
        <f>IF(E37&gt;0,Аукціон!$C$39*E29*E37/E32,0)</f>
        <v>140990.05232999998</v>
      </c>
      <c r="F38" s="21">
        <f>IF(F37&gt;0,Аукціон!$C$39*F29*F37/F32,0)</f>
        <v>140990.05232999998</v>
      </c>
      <c r="G38" s="21">
        <f>IF(G37&gt;0,Аукціон!$C$39*G29*G37/G32,0)</f>
        <v>140990.05232999998</v>
      </c>
      <c r="H38" s="21">
        <f>IF(H37&gt;0,Аукціон!$C$39*H29*H37/H32,0)</f>
        <v>125539.08769109588</v>
      </c>
      <c r="I38" s="21">
        <f>IF(I37&gt;0,Аукціон!$C$39*I29*I37/I32,0)</f>
        <v>0</v>
      </c>
      <c r="J38" s="21">
        <f>IF(J37&gt;0,Аукціон!$C$39*J29*J37/J32,0)</f>
        <v>0</v>
      </c>
      <c r="K38" s="21">
        <f>IF(K37&gt;0,Аукціон!$C$39*K29*K37/K32,0)</f>
        <v>0</v>
      </c>
      <c r="L38" s="21">
        <f>IF(L37&gt;0,Аукціон!$C$39*L29*L37/L32,0)</f>
        <v>0</v>
      </c>
      <c r="M38" s="21">
        <f>IF(M37&gt;0,Аукціон!$C$39*M29*M37/M32,0)</f>
        <v>0</v>
      </c>
      <c r="N38" s="21">
        <f>IF(N37&gt;0,Аукціон!$C$39*N29*N37/N32,0)</f>
        <v>0</v>
      </c>
      <c r="O38" s="21">
        <f>IF(O37&gt;0,Аукціон!$C$39*O29*O37/O32,0)</f>
        <v>0</v>
      </c>
      <c r="P38" s="21">
        <f>IF(P37&gt;0,Аукціон!$C$39*P29*P37/P32,0)</f>
        <v>0</v>
      </c>
      <c r="Q38" s="21">
        <f>IF(Q37&gt;0,Аукціон!$C$39*Q29*Q37/Q32,0)</f>
        <v>0</v>
      </c>
      <c r="R38" s="21">
        <f>IF(R37&gt;0,Аукціон!$C$39*R29*R37/R32,0)</f>
        <v>0</v>
      </c>
      <c r="S38" s="21">
        <f>IF(S37&gt;0,Аукціон!$C$39*S29*S37/S32,0)</f>
        <v>0</v>
      </c>
      <c r="T38" s="21">
        <f>IF(T37&gt;0,Аукціон!$C$39*T29*T37/T32,0)</f>
        <v>0</v>
      </c>
      <c r="U38" s="21">
        <f>IF(U37&gt;0,Аукціон!$C$39*U29*U37/U32,0)</f>
        <v>0</v>
      </c>
      <c r="V38" s="21">
        <f>IF(V37&gt;0,Аукціон!$C$39*V29*V37/V32,0)</f>
        <v>0</v>
      </c>
      <c r="W38" s="22">
        <f>SUM(B38:V38)</f>
        <v>774236.66603834578</v>
      </c>
    </row>
    <row r="39" spans="1:23" ht="18.75" x14ac:dyDescent="0.3">
      <c r="A39" s="7" t="s">
        <v>62</v>
      </c>
      <c r="B39" s="23">
        <f>B29*B32/B28-B38</f>
        <v>0</v>
      </c>
      <c r="C39" s="23">
        <f t="shared" ref="C39:V39" si="56">C29*C32/C28-C38</f>
        <v>4459.8615277500066</v>
      </c>
      <c r="D39" s="23">
        <f t="shared" si="56"/>
        <v>7420.5290700000187</v>
      </c>
      <c r="E39" s="23">
        <f t="shared" si="56"/>
        <v>7420.5290700000187</v>
      </c>
      <c r="F39" s="23">
        <f t="shared" si="56"/>
        <v>7420.5290700000187</v>
      </c>
      <c r="G39" s="23">
        <f t="shared" si="56"/>
        <v>7420.5290700000187</v>
      </c>
      <c r="H39" s="23">
        <f t="shared" si="56"/>
        <v>22871.49370890412</v>
      </c>
      <c r="I39" s="23">
        <f t="shared" si="56"/>
        <v>148410.5814</v>
      </c>
      <c r="J39" s="23">
        <f t="shared" si="56"/>
        <v>148410.5814</v>
      </c>
      <c r="K39" s="23">
        <f t="shared" si="56"/>
        <v>148410.5814</v>
      </c>
      <c r="L39" s="23">
        <f t="shared" si="56"/>
        <v>148410.5814</v>
      </c>
      <c r="M39" s="23">
        <f t="shared" si="56"/>
        <v>148410.5814</v>
      </c>
      <c r="N39" s="23">
        <f t="shared" si="56"/>
        <v>148410.5814</v>
      </c>
      <c r="O39" s="23">
        <f t="shared" si="56"/>
        <v>148410.5814</v>
      </c>
      <c r="P39" s="23">
        <f t="shared" si="56"/>
        <v>148410.5814</v>
      </c>
      <c r="Q39" s="23">
        <f t="shared" si="56"/>
        <v>148410.5814</v>
      </c>
      <c r="R39" s="23">
        <f t="shared" si="56"/>
        <v>148410.5814</v>
      </c>
      <c r="S39" s="23">
        <f t="shared" si="56"/>
        <v>148410.5814</v>
      </c>
      <c r="T39" s="23">
        <f t="shared" si="56"/>
        <v>148410.5814</v>
      </c>
      <c r="U39" s="23">
        <f t="shared" si="56"/>
        <v>148410.5814</v>
      </c>
      <c r="V39" s="23">
        <f t="shared" si="56"/>
        <v>132146.40809589039</v>
      </c>
      <c r="W39" s="19" t="s">
        <v>14</v>
      </c>
    </row>
    <row r="40" spans="1:23" ht="31.5" x14ac:dyDescent="0.5">
      <c r="A40" s="7" t="s">
        <v>15</v>
      </c>
      <c r="B40" s="24">
        <f t="shared" ref="B40:V40" si="57">B39*B35</f>
        <v>0</v>
      </c>
      <c r="C40" s="24">
        <f t="shared" si="57"/>
        <v>3872.1074433848216</v>
      </c>
      <c r="D40" s="24">
        <f t="shared" si="57"/>
        <v>5676.295997028591</v>
      </c>
      <c r="E40" s="24">
        <f t="shared" si="57"/>
        <v>5001.1418476022827</v>
      </c>
      <c r="F40" s="24">
        <f t="shared" si="57"/>
        <v>4406.2923767420998</v>
      </c>
      <c r="G40" s="24">
        <f t="shared" si="57"/>
        <v>3882.1959266450222</v>
      </c>
      <c r="H40" s="24">
        <f t="shared" si="57"/>
        <v>10542.442622595234</v>
      </c>
      <c r="I40" s="24">
        <f t="shared" si="57"/>
        <v>60272.016559917902</v>
      </c>
      <c r="J40" s="24">
        <f t="shared" si="57"/>
        <v>53103.098290676571</v>
      </c>
      <c r="K40" s="24">
        <f t="shared" si="57"/>
        <v>46786.8707406842</v>
      </c>
      <c r="L40" s="24">
        <f t="shared" si="57"/>
        <v>41221.912546858322</v>
      </c>
      <c r="M40" s="24">
        <f t="shared" si="57"/>
        <v>36318.865680051378</v>
      </c>
      <c r="N40" s="24">
        <f t="shared" si="57"/>
        <v>31999.00059916421</v>
      </c>
      <c r="O40" s="24">
        <f t="shared" si="57"/>
        <v>28192.952069748204</v>
      </c>
      <c r="P40" s="24">
        <f t="shared" si="57"/>
        <v>24839.605347795776</v>
      </c>
      <c r="Q40" s="24">
        <f t="shared" si="57"/>
        <v>21885.114843872929</v>
      </c>
      <c r="R40" s="24">
        <f t="shared" si="57"/>
        <v>19282.039510020204</v>
      </c>
      <c r="S40" s="24">
        <f t="shared" si="57"/>
        <v>16988.581066097096</v>
      </c>
      <c r="T40" s="24">
        <f t="shared" si="57"/>
        <v>14967.912833565724</v>
      </c>
      <c r="U40" s="24">
        <f t="shared" si="57"/>
        <v>13187.588399617378</v>
      </c>
      <c r="V40" s="24">
        <f t="shared" si="57"/>
        <v>10482.338685113171</v>
      </c>
      <c r="W40" s="25">
        <f t="shared" ref="W40" si="58">SUM(B40:V40)</f>
        <v>452908.37338718114</v>
      </c>
    </row>
    <row r="42" spans="1:23" ht="36" x14ac:dyDescent="0.55000000000000004">
      <c r="A42" s="165" t="s">
        <v>89</v>
      </c>
    </row>
    <row r="43" spans="1:23" x14ac:dyDescent="0.25">
      <c r="A43" s="7" t="s">
        <v>0</v>
      </c>
      <c r="B43" s="201">
        <f>startDate</f>
        <v>43061</v>
      </c>
      <c r="C43" s="202"/>
    </row>
    <row r="44" spans="1:23" x14ac:dyDescent="0.25">
      <c r="F44" s="6"/>
    </row>
    <row r="45" spans="1:23" x14ac:dyDescent="0.25">
      <c r="A45" s="7" t="s">
        <v>2</v>
      </c>
      <c r="B45" s="7">
        <v>1</v>
      </c>
      <c r="C45" s="7">
        <f t="shared" ref="C45" si="59">B45+1</f>
        <v>2</v>
      </c>
      <c r="D45" s="7">
        <f t="shared" ref="D45" si="60">C45+1</f>
        <v>3</v>
      </c>
      <c r="E45" s="7">
        <f t="shared" ref="E45" si="61">D45+1</f>
        <v>4</v>
      </c>
      <c r="F45" s="7">
        <f t="shared" ref="F45" si="62">E45+1</f>
        <v>5</v>
      </c>
      <c r="G45" s="7">
        <f t="shared" ref="G45" si="63">F45+1</f>
        <v>6</v>
      </c>
      <c r="H45" s="7">
        <f t="shared" ref="H45" si="64">G45+1</f>
        <v>7</v>
      </c>
      <c r="I45" s="7">
        <f t="shared" ref="I45" si="65">H45+1</f>
        <v>8</v>
      </c>
      <c r="J45" s="7">
        <f t="shared" ref="J45" si="66">I45+1</f>
        <v>9</v>
      </c>
      <c r="K45" s="7">
        <f t="shared" ref="K45" si="67">J45+1</f>
        <v>10</v>
      </c>
      <c r="L45" s="7">
        <f t="shared" ref="L45" si="68">K45+1</f>
        <v>11</v>
      </c>
      <c r="M45" s="7">
        <f t="shared" ref="M45" si="69">L45+1</f>
        <v>12</v>
      </c>
      <c r="N45" s="7">
        <f t="shared" ref="N45" si="70">M45+1</f>
        <v>13</v>
      </c>
      <c r="O45" s="7">
        <f t="shared" ref="O45" si="71">N45+1</f>
        <v>14</v>
      </c>
      <c r="P45" s="7">
        <f t="shared" ref="P45" si="72">O45+1</f>
        <v>15</v>
      </c>
      <c r="Q45" s="7">
        <f t="shared" ref="Q45" si="73">P45+1</f>
        <v>16</v>
      </c>
      <c r="R45" s="7">
        <f t="shared" ref="R45" si="74">Q45+1</f>
        <v>17</v>
      </c>
      <c r="S45" s="7">
        <f t="shared" ref="S45" si="75">R45+1</f>
        <v>18</v>
      </c>
      <c r="T45" s="7">
        <f t="shared" ref="T45" si="76">S45+1</f>
        <v>19</v>
      </c>
      <c r="U45" s="7">
        <f t="shared" ref="U45" si="77">T45+1</f>
        <v>20</v>
      </c>
      <c r="V45" s="7">
        <f t="shared" ref="V45" si="78">U45+1</f>
        <v>21</v>
      </c>
    </row>
    <row r="46" spans="1:23" x14ac:dyDescent="0.25">
      <c r="A46" s="7" t="s">
        <v>3</v>
      </c>
      <c r="B46" s="7">
        <f t="shared" ref="B46:V46" si="79">YEAR(startDate)-1+B45</f>
        <v>2017</v>
      </c>
      <c r="C46" s="7">
        <f t="shared" si="79"/>
        <v>2018</v>
      </c>
      <c r="D46" s="7">
        <f t="shared" si="79"/>
        <v>2019</v>
      </c>
      <c r="E46" s="7">
        <f t="shared" si="79"/>
        <v>2020</v>
      </c>
      <c r="F46" s="7">
        <f t="shared" si="79"/>
        <v>2021</v>
      </c>
      <c r="G46" s="7">
        <f t="shared" si="79"/>
        <v>2022</v>
      </c>
      <c r="H46" s="7">
        <f t="shared" si="79"/>
        <v>2023</v>
      </c>
      <c r="I46" s="7">
        <f t="shared" si="79"/>
        <v>2024</v>
      </c>
      <c r="J46" s="7">
        <f t="shared" si="79"/>
        <v>2025</v>
      </c>
      <c r="K46" s="7">
        <f t="shared" si="79"/>
        <v>2026</v>
      </c>
      <c r="L46" s="7">
        <f t="shared" si="79"/>
        <v>2027</v>
      </c>
      <c r="M46" s="7">
        <f t="shared" si="79"/>
        <v>2028</v>
      </c>
      <c r="N46" s="7">
        <f t="shared" si="79"/>
        <v>2029</v>
      </c>
      <c r="O46" s="7">
        <f t="shared" si="79"/>
        <v>2030</v>
      </c>
      <c r="P46" s="7">
        <f t="shared" si="79"/>
        <v>2031</v>
      </c>
      <c r="Q46" s="7">
        <f t="shared" si="79"/>
        <v>2032</v>
      </c>
      <c r="R46" s="7">
        <f t="shared" si="79"/>
        <v>2033</v>
      </c>
      <c r="S46" s="7">
        <f t="shared" si="79"/>
        <v>2034</v>
      </c>
      <c r="T46" s="7">
        <f t="shared" si="79"/>
        <v>2035</v>
      </c>
      <c r="U46" s="7">
        <f t="shared" si="79"/>
        <v>2036</v>
      </c>
      <c r="V46" s="7">
        <f t="shared" si="79"/>
        <v>2037</v>
      </c>
    </row>
    <row r="47" spans="1:23" x14ac:dyDescent="0.25">
      <c r="A47" s="10" t="s">
        <v>4</v>
      </c>
      <c r="B47" s="10">
        <v>365</v>
      </c>
      <c r="C47" s="10">
        <v>365</v>
      </c>
      <c r="D47" s="10">
        <v>365</v>
      </c>
      <c r="E47" s="10">
        <v>365</v>
      </c>
      <c r="F47" s="10">
        <v>365</v>
      </c>
      <c r="G47" s="10">
        <v>365</v>
      </c>
      <c r="H47" s="10">
        <v>365</v>
      </c>
      <c r="I47" s="10">
        <v>365</v>
      </c>
      <c r="J47" s="10">
        <v>365</v>
      </c>
      <c r="K47" s="10">
        <v>365</v>
      </c>
      <c r="L47" s="10">
        <v>365</v>
      </c>
      <c r="M47" s="10">
        <v>365</v>
      </c>
      <c r="N47" s="10">
        <v>365</v>
      </c>
      <c r="O47" s="10">
        <v>365</v>
      </c>
      <c r="P47" s="10">
        <v>365</v>
      </c>
      <c r="Q47" s="10">
        <v>365</v>
      </c>
      <c r="R47" s="10">
        <v>365</v>
      </c>
      <c r="S47" s="10">
        <v>365</v>
      </c>
      <c r="T47" s="10">
        <v>365</v>
      </c>
      <c r="U47" s="10">
        <v>365</v>
      </c>
      <c r="V47" s="10">
        <v>365</v>
      </c>
    </row>
    <row r="48" spans="1:23" ht="45" x14ac:dyDescent="0.25">
      <c r="A48" s="10" t="s">
        <v>6</v>
      </c>
      <c r="B48" s="11">
        <f>MROUND(YEARFRAC("31.12.2017",B43)*365,1)</f>
        <v>40</v>
      </c>
      <c r="C48" s="10">
        <f t="shared" ref="C48:V48" si="80">C47</f>
        <v>365</v>
      </c>
      <c r="D48" s="10">
        <f t="shared" si="80"/>
        <v>365</v>
      </c>
      <c r="E48" s="10">
        <f t="shared" si="80"/>
        <v>365</v>
      </c>
      <c r="F48" s="10">
        <f t="shared" si="80"/>
        <v>365</v>
      </c>
      <c r="G48" s="10">
        <f t="shared" si="80"/>
        <v>365</v>
      </c>
      <c r="H48" s="10">
        <f t="shared" si="80"/>
        <v>365</v>
      </c>
      <c r="I48" s="10">
        <f t="shared" si="80"/>
        <v>365</v>
      </c>
      <c r="J48" s="10">
        <f t="shared" si="80"/>
        <v>365</v>
      </c>
      <c r="K48" s="10">
        <f t="shared" si="80"/>
        <v>365</v>
      </c>
      <c r="L48" s="10">
        <f t="shared" si="80"/>
        <v>365</v>
      </c>
      <c r="M48" s="10">
        <f t="shared" si="80"/>
        <v>365</v>
      </c>
      <c r="N48" s="10">
        <f t="shared" si="80"/>
        <v>365</v>
      </c>
      <c r="O48" s="10">
        <f t="shared" si="80"/>
        <v>365</v>
      </c>
      <c r="P48" s="10">
        <f t="shared" si="80"/>
        <v>365</v>
      </c>
      <c r="Q48" s="10">
        <f t="shared" si="80"/>
        <v>365</v>
      </c>
      <c r="R48" s="10">
        <f t="shared" si="80"/>
        <v>365</v>
      </c>
      <c r="S48" s="10">
        <f t="shared" si="80"/>
        <v>365</v>
      </c>
      <c r="T48" s="10">
        <f t="shared" si="80"/>
        <v>365</v>
      </c>
      <c r="U48" s="10">
        <f t="shared" si="80"/>
        <v>365</v>
      </c>
      <c r="V48" s="10">
        <f t="shared" si="80"/>
        <v>365</v>
      </c>
    </row>
    <row r="49" spans="1:23" x14ac:dyDescent="0.25">
      <c r="A49" s="7" t="s">
        <v>61</v>
      </c>
      <c r="B49" s="13">
        <f>VLOOKUP(B$5,'Скорочення споживання ПЕР'!$A$59:$P$79,16,0)</f>
        <v>0</v>
      </c>
      <c r="C49" s="13">
        <f>VLOOKUP(C$5,'Скорочення споживання ПЕР'!$A$59:$P$79,16,0)</f>
        <v>89197.230554999987</v>
      </c>
      <c r="D49" s="13">
        <f>VLOOKUP(D$5,'Скорочення споживання ПЕР'!$A$59:$P$79,16,0)</f>
        <v>148410.5814</v>
      </c>
      <c r="E49" s="13">
        <f>VLOOKUP(E$5,'Скорочення споживання ПЕР'!$A$59:$P$79,16,0)</f>
        <v>148410.5814</v>
      </c>
      <c r="F49" s="13">
        <f>VLOOKUP(F$5,'Скорочення споживання ПЕР'!$A$59:$P$79,16,0)</f>
        <v>148410.5814</v>
      </c>
      <c r="G49" s="13">
        <f>VLOOKUP(G$5,'Скорочення споживання ПЕР'!$A$59:$P$79,16,0)</f>
        <v>148410.5814</v>
      </c>
      <c r="H49" s="13">
        <f>VLOOKUP(H$5,'Скорочення споживання ПЕР'!$A$59:$P$79,16,0)</f>
        <v>148410.5814</v>
      </c>
      <c r="I49" s="13">
        <f>VLOOKUP(I$5,'Скорочення споживання ПЕР'!$A$59:$P$79,16,0)</f>
        <v>148410.5814</v>
      </c>
      <c r="J49" s="13">
        <f>VLOOKUP(J$5,'Скорочення споживання ПЕР'!$A$59:$P$79,16,0)</f>
        <v>148410.5814</v>
      </c>
      <c r="K49" s="13">
        <f>VLOOKUP(K$5,'Скорочення споживання ПЕР'!$A$59:$P$79,16,0)</f>
        <v>148410.5814</v>
      </c>
      <c r="L49" s="13">
        <f>VLOOKUP(L$5,'Скорочення споживання ПЕР'!$A$59:$P$79,16,0)</f>
        <v>148410.5814</v>
      </c>
      <c r="M49" s="13">
        <f>VLOOKUP(M$5,'Скорочення споживання ПЕР'!$A$59:$P$79,16,0)</f>
        <v>148410.5814</v>
      </c>
      <c r="N49" s="13">
        <f>VLOOKUP(N$5,'Скорочення споживання ПЕР'!$A$59:$P$79,16,0)</f>
        <v>148410.5814</v>
      </c>
      <c r="O49" s="13">
        <f>VLOOKUP(O$5,'Скорочення споживання ПЕР'!$A$59:$P$79,16,0)</f>
        <v>148410.5814</v>
      </c>
      <c r="P49" s="13">
        <f>VLOOKUP(P$5,'Скорочення споживання ПЕР'!$A$59:$P$79,16,0)</f>
        <v>148410.5814</v>
      </c>
      <c r="Q49" s="13">
        <f>VLOOKUP(Q$5,'Скорочення споживання ПЕР'!$A$59:$P$79,16,0)</f>
        <v>148410.5814</v>
      </c>
      <c r="R49" s="13">
        <f>VLOOKUP(R$5,'Скорочення споживання ПЕР'!$A$59:$P$79,16,0)</f>
        <v>148410.5814</v>
      </c>
      <c r="S49" s="13">
        <f>VLOOKUP(S$5,'Скорочення споживання ПЕР'!$A$59:$P$79,16,0)</f>
        <v>148410.5814</v>
      </c>
      <c r="T49" s="13">
        <f>VLOOKUP(T$5,'Скорочення споживання ПЕР'!$A$59:$P$79,16,0)</f>
        <v>148410.5814</v>
      </c>
      <c r="U49" s="13">
        <f>VLOOKUP(U$5,'Скорочення споживання ПЕР'!$A$59:$P$79,16,0)</f>
        <v>148410.5814</v>
      </c>
      <c r="V49" s="13">
        <f>VLOOKUP(V$5,'Скорочення споживання ПЕР'!$A$59:$P$79,16,0)</f>
        <v>148410.5814</v>
      </c>
    </row>
    <row r="52" spans="1:23" ht="30" x14ac:dyDescent="0.25">
      <c r="A52" s="10" t="s">
        <v>9</v>
      </c>
      <c r="B52" s="15">
        <f t="shared" ref="B52:U52" si="81">B48</f>
        <v>40</v>
      </c>
      <c r="C52" s="7">
        <f t="shared" si="81"/>
        <v>365</v>
      </c>
      <c r="D52" s="7">
        <f t="shared" si="81"/>
        <v>365</v>
      </c>
      <c r="E52" s="7">
        <f t="shared" si="81"/>
        <v>365</v>
      </c>
      <c r="F52" s="7">
        <f t="shared" si="81"/>
        <v>365</v>
      </c>
      <c r="G52" s="7">
        <f t="shared" si="81"/>
        <v>365</v>
      </c>
      <c r="H52" s="7">
        <f t="shared" si="81"/>
        <v>365</v>
      </c>
      <c r="I52" s="7">
        <f t="shared" si="81"/>
        <v>365</v>
      </c>
      <c r="J52" s="7">
        <f t="shared" si="81"/>
        <v>365</v>
      </c>
      <c r="K52" s="7">
        <f t="shared" si="81"/>
        <v>365</v>
      </c>
      <c r="L52" s="7">
        <f t="shared" si="81"/>
        <v>365</v>
      </c>
      <c r="M52" s="7">
        <f t="shared" si="81"/>
        <v>365</v>
      </c>
      <c r="N52" s="7">
        <f t="shared" si="81"/>
        <v>365</v>
      </c>
      <c r="O52" s="7">
        <f t="shared" si="81"/>
        <v>365</v>
      </c>
      <c r="P52" s="7">
        <f t="shared" si="81"/>
        <v>365</v>
      </c>
      <c r="Q52" s="7">
        <f t="shared" si="81"/>
        <v>365</v>
      </c>
      <c r="R52" s="7">
        <f t="shared" si="81"/>
        <v>365</v>
      </c>
      <c r="S52" s="7">
        <f t="shared" si="81"/>
        <v>365</v>
      </c>
      <c r="T52" s="7">
        <f t="shared" si="81"/>
        <v>365</v>
      </c>
      <c r="U52" s="7">
        <f t="shared" si="81"/>
        <v>365</v>
      </c>
      <c r="V52" s="16">
        <f>365-B52</f>
        <v>325</v>
      </c>
    </row>
    <row r="53" spans="1:23" ht="30" x14ac:dyDescent="0.25">
      <c r="A53" s="10" t="s">
        <v>11</v>
      </c>
      <c r="B53" s="17">
        <f t="shared" ref="B53:V53" si="82">NBUdiscountRate*B52/B47</f>
        <v>1.4794520547945207E-2</v>
      </c>
      <c r="C53" s="17">
        <f t="shared" si="82"/>
        <v>0.13500000000000001</v>
      </c>
      <c r="D53" s="17">
        <f t="shared" si="82"/>
        <v>0.13500000000000001</v>
      </c>
      <c r="E53" s="17">
        <f t="shared" si="82"/>
        <v>0.13500000000000001</v>
      </c>
      <c r="F53" s="17">
        <f t="shared" si="82"/>
        <v>0.13500000000000001</v>
      </c>
      <c r="G53" s="17">
        <f t="shared" si="82"/>
        <v>0.13500000000000001</v>
      </c>
      <c r="H53" s="17">
        <f t="shared" si="82"/>
        <v>0.13500000000000001</v>
      </c>
      <c r="I53" s="17">
        <f t="shared" si="82"/>
        <v>0.13500000000000001</v>
      </c>
      <c r="J53" s="17">
        <f t="shared" si="82"/>
        <v>0.13500000000000001</v>
      </c>
      <c r="K53" s="17">
        <f t="shared" si="82"/>
        <v>0.13500000000000001</v>
      </c>
      <c r="L53" s="17">
        <f t="shared" si="82"/>
        <v>0.13500000000000001</v>
      </c>
      <c r="M53" s="17">
        <f t="shared" si="82"/>
        <v>0.13500000000000001</v>
      </c>
      <c r="N53" s="17">
        <f t="shared" si="82"/>
        <v>0.13500000000000001</v>
      </c>
      <c r="O53" s="17">
        <f t="shared" si="82"/>
        <v>0.13500000000000001</v>
      </c>
      <c r="P53" s="17">
        <f t="shared" si="82"/>
        <v>0.13500000000000001</v>
      </c>
      <c r="Q53" s="17">
        <f t="shared" si="82"/>
        <v>0.13500000000000001</v>
      </c>
      <c r="R53" s="17">
        <f t="shared" si="82"/>
        <v>0.13500000000000001</v>
      </c>
      <c r="S53" s="17">
        <f t="shared" si="82"/>
        <v>0.13500000000000001</v>
      </c>
      <c r="T53" s="17">
        <f t="shared" si="82"/>
        <v>0.13500000000000001</v>
      </c>
      <c r="U53" s="17">
        <f t="shared" si="82"/>
        <v>0.13500000000000001</v>
      </c>
      <c r="V53" s="17">
        <f t="shared" si="82"/>
        <v>0.1202054794520548</v>
      </c>
    </row>
    <row r="54" spans="1:23" x14ac:dyDescent="0.25">
      <c r="A54" s="10" t="s">
        <v>10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3" x14ac:dyDescent="0.25">
      <c r="A55" s="10">
        <v>1</v>
      </c>
      <c r="B55" s="18">
        <f t="shared" ref="B55" si="83">A55/(1+B53)</f>
        <v>0.98542116630669552</v>
      </c>
      <c r="C55" s="18">
        <f t="shared" ref="C55" si="84">B55/(1+C53)</f>
        <v>0.86821248132748507</v>
      </c>
      <c r="D55" s="18">
        <f t="shared" ref="D55" si="85">C55/(1+D53)</f>
        <v>0.76494491746914983</v>
      </c>
      <c r="E55" s="18">
        <f t="shared" ref="E55" si="86">D55/(1+E53)</f>
        <v>0.67396027970850203</v>
      </c>
      <c r="F55" s="18">
        <f t="shared" ref="F55" si="87">E55/(1+F53)</f>
        <v>0.59379760326740272</v>
      </c>
      <c r="G55" s="18">
        <f t="shared" ref="G55" si="88">F55/(1+G53)</f>
        <v>0.52316969450872486</v>
      </c>
      <c r="H55" s="18">
        <f t="shared" ref="H55" si="89">G55/(1+H53)</f>
        <v>0.46094246212222456</v>
      </c>
      <c r="I55" s="18">
        <f t="shared" ref="I55" si="90">H55/(1+I53)</f>
        <v>0.40611670671561634</v>
      </c>
      <c r="J55" s="18">
        <f t="shared" ref="J55" si="91">I55/(1+J53)</f>
        <v>0.3578120764014241</v>
      </c>
      <c r="K55" s="18">
        <f t="shared" ref="K55" si="92">J55/(1+K53)</f>
        <v>0.31525293075015337</v>
      </c>
      <c r="L55" s="18">
        <f t="shared" ref="L55" si="93">K55/(1+L53)</f>
        <v>0.27775588612348312</v>
      </c>
      <c r="M55" s="18">
        <f t="shared" ref="M55" si="94">L55/(1+M53)</f>
        <v>0.24471884239954458</v>
      </c>
      <c r="N55" s="18">
        <f t="shared" ref="N55" si="95">M55/(1+N53)</f>
        <v>0.21561131488946658</v>
      </c>
      <c r="O55" s="18">
        <f t="shared" ref="O55" si="96">N55/(1+O53)</f>
        <v>0.18996591620217321</v>
      </c>
      <c r="P55" s="18">
        <f t="shared" ref="P55" si="97">O55/(1+P53)</f>
        <v>0.16737085127944776</v>
      </c>
      <c r="Q55" s="18">
        <f t="shared" ref="Q55" si="98">P55/(1+Q53)</f>
        <v>0.14746330509202446</v>
      </c>
      <c r="R55" s="18">
        <f t="shared" ref="R55" si="99">Q55/(1+R53)</f>
        <v>0.12992361682116693</v>
      </c>
      <c r="S55" s="18">
        <f t="shared" ref="S55" si="100">R55/(1+S53)</f>
        <v>0.11447014697900171</v>
      </c>
      <c r="T55" s="18">
        <f t="shared" ref="T55" si="101">S55/(1+T53)</f>
        <v>0.1008547550475786</v>
      </c>
      <c r="U55" s="18">
        <f t="shared" ref="U55" si="102">T55/(1+U53)</f>
        <v>8.8858815019893039E-2</v>
      </c>
      <c r="V55" s="18">
        <f t="shared" ref="V55" si="103">U55/(1+V53)</f>
        <v>7.9323674673826866E-2</v>
      </c>
    </row>
    <row r="57" spans="1:23" ht="30.75" x14ac:dyDescent="0.3">
      <c r="A57" s="10" t="s">
        <v>12</v>
      </c>
      <c r="B57" s="16">
        <f>B16</f>
        <v>40</v>
      </c>
      <c r="C57" s="16">
        <f t="shared" ref="C57:V57" si="104">C16</f>
        <v>365</v>
      </c>
      <c r="D57" s="16">
        <f t="shared" si="104"/>
        <v>365</v>
      </c>
      <c r="E57" s="16">
        <f t="shared" si="104"/>
        <v>365</v>
      </c>
      <c r="F57" s="16">
        <f t="shared" si="104"/>
        <v>365</v>
      </c>
      <c r="G57" s="16">
        <f t="shared" si="104"/>
        <v>365</v>
      </c>
      <c r="H57" s="16">
        <f t="shared" si="104"/>
        <v>325</v>
      </c>
      <c r="I57" s="16">
        <f t="shared" si="104"/>
        <v>0</v>
      </c>
      <c r="J57" s="16">
        <f t="shared" si="104"/>
        <v>0</v>
      </c>
      <c r="K57" s="16">
        <f t="shared" si="104"/>
        <v>0</v>
      </c>
      <c r="L57" s="16">
        <f t="shared" si="104"/>
        <v>0</v>
      </c>
      <c r="M57" s="16">
        <f t="shared" si="104"/>
        <v>0</v>
      </c>
      <c r="N57" s="16">
        <f t="shared" si="104"/>
        <v>0</v>
      </c>
      <c r="O57" s="16">
        <f t="shared" si="104"/>
        <v>0</v>
      </c>
      <c r="P57" s="16">
        <f t="shared" si="104"/>
        <v>0</v>
      </c>
      <c r="Q57" s="16">
        <f t="shared" si="104"/>
        <v>0</v>
      </c>
      <c r="R57" s="16">
        <f t="shared" si="104"/>
        <v>0</v>
      </c>
      <c r="S57" s="16">
        <f t="shared" si="104"/>
        <v>0</v>
      </c>
      <c r="T57" s="16">
        <f t="shared" si="104"/>
        <v>0</v>
      </c>
      <c r="U57" s="16">
        <f t="shared" si="104"/>
        <v>0</v>
      </c>
      <c r="V57" s="16">
        <f t="shared" si="104"/>
        <v>0</v>
      </c>
      <c r="W57" s="19" t="s">
        <v>13</v>
      </c>
    </row>
    <row r="58" spans="1:23" ht="31.5" x14ac:dyDescent="0.5">
      <c r="A58" s="7" t="s">
        <v>63</v>
      </c>
      <c r="B58" s="21">
        <f>IF(B57&gt;0,Аукціон!$C$54*B49*B57/B52,0)</f>
        <v>0</v>
      </c>
      <c r="C58" s="21">
        <f>IF(C57&gt;0,Аукціон!$C$54*C49*C57/C52,0)</f>
        <v>84737.369027249981</v>
      </c>
      <c r="D58" s="21">
        <f>IF(D57&gt;0,Аукціон!$C$54*D49*D57/D52,0)</f>
        <v>140990.05232999998</v>
      </c>
      <c r="E58" s="21">
        <f>IF(E57&gt;0,Аукціон!$C$54*E49*E57/E52,0)</f>
        <v>140990.05232999998</v>
      </c>
      <c r="F58" s="21">
        <f>IF(F57&gt;0,Аукціон!$C$54*F49*F57/F52,0)</f>
        <v>140990.05232999998</v>
      </c>
      <c r="G58" s="21">
        <f>IF(G57&gt;0,Аукціон!$C$54*G49*G57/G52,0)</f>
        <v>140990.05232999998</v>
      </c>
      <c r="H58" s="21">
        <f>IF(H57&gt;0,Аукціон!$C$54*H49*H57/H52,0)</f>
        <v>125539.08769109588</v>
      </c>
      <c r="I58" s="21">
        <f>IF(I57&gt;0,Аукціон!$C$54*I49*I57/I52,0)</f>
        <v>0</v>
      </c>
      <c r="J58" s="21">
        <f>IF(J57&gt;0,Аукціон!$C$54*J49*J57/J52,0)</f>
        <v>0</v>
      </c>
      <c r="K58" s="21">
        <f>IF(K57&gt;0,Аукціон!$C$54*K49*K57/K52,0)</f>
        <v>0</v>
      </c>
      <c r="L58" s="21">
        <f>IF(L57&gt;0,Аукціон!$C$54*L49*L57/L52,0)</f>
        <v>0</v>
      </c>
      <c r="M58" s="21">
        <f>IF(M57&gt;0,Аукціон!$C$54*M49*M57/M52,0)</f>
        <v>0</v>
      </c>
      <c r="N58" s="21">
        <f>IF(N57&gt;0,Аукціон!$C$54*N49*N57/N52,0)</f>
        <v>0</v>
      </c>
      <c r="O58" s="21">
        <f>IF(O57&gt;0,Аукціон!$C$54*O49*O57/O52,0)</f>
        <v>0</v>
      </c>
      <c r="P58" s="21">
        <f>IF(P57&gt;0,Аукціон!$C$54*P49*P57/P52,0)</f>
        <v>0</v>
      </c>
      <c r="Q58" s="21">
        <f>IF(Q57&gt;0,Аукціон!$C$54*Q49*Q57/Q52,0)</f>
        <v>0</v>
      </c>
      <c r="R58" s="21">
        <f>IF(R57&gt;0,Аукціон!$C$54*R49*R57/R52,0)</f>
        <v>0</v>
      </c>
      <c r="S58" s="21">
        <f>IF(S57&gt;0,Аукціон!$C$54*S49*S57/S52,0)</f>
        <v>0</v>
      </c>
      <c r="T58" s="21">
        <f>IF(T57&gt;0,Аукціон!$C$54*T49*T57/T52,0)</f>
        <v>0</v>
      </c>
      <c r="U58" s="21">
        <f>IF(U57&gt;0,Аукціон!$C$54*U49*U57/U52,0)</f>
        <v>0</v>
      </c>
      <c r="V58" s="21">
        <f>IF(V57&gt;0,Аукціон!$C$54*V49*V57/V52,0)</f>
        <v>0</v>
      </c>
      <c r="W58" s="22">
        <f>SUM(B58:V58)</f>
        <v>774236.66603834578</v>
      </c>
    </row>
    <row r="59" spans="1:23" ht="18.75" x14ac:dyDescent="0.3">
      <c r="A59" s="7" t="s">
        <v>62</v>
      </c>
      <c r="B59" s="23">
        <f>B49*B52/B48-B58</f>
        <v>0</v>
      </c>
      <c r="C59" s="23">
        <f t="shared" ref="C59:V59" si="105">C49*C52/C48-C58</f>
        <v>4459.8615277500066</v>
      </c>
      <c r="D59" s="23">
        <f t="shared" si="105"/>
        <v>7420.5290700000187</v>
      </c>
      <c r="E59" s="23">
        <f t="shared" si="105"/>
        <v>7420.5290700000187</v>
      </c>
      <c r="F59" s="23">
        <f t="shared" si="105"/>
        <v>7420.5290700000187</v>
      </c>
      <c r="G59" s="23">
        <f t="shared" si="105"/>
        <v>7420.5290700000187</v>
      </c>
      <c r="H59" s="23">
        <f t="shared" si="105"/>
        <v>22871.49370890412</v>
      </c>
      <c r="I59" s="23">
        <f t="shared" si="105"/>
        <v>148410.5814</v>
      </c>
      <c r="J59" s="23">
        <f t="shared" si="105"/>
        <v>148410.5814</v>
      </c>
      <c r="K59" s="23">
        <f t="shared" si="105"/>
        <v>148410.5814</v>
      </c>
      <c r="L59" s="23">
        <f t="shared" si="105"/>
        <v>148410.5814</v>
      </c>
      <c r="M59" s="23">
        <f t="shared" si="105"/>
        <v>148410.5814</v>
      </c>
      <c r="N59" s="23">
        <f t="shared" si="105"/>
        <v>148410.5814</v>
      </c>
      <c r="O59" s="23">
        <f t="shared" si="105"/>
        <v>148410.5814</v>
      </c>
      <c r="P59" s="23">
        <f t="shared" si="105"/>
        <v>148410.5814</v>
      </c>
      <c r="Q59" s="23">
        <f t="shared" si="105"/>
        <v>148410.5814</v>
      </c>
      <c r="R59" s="23">
        <f t="shared" si="105"/>
        <v>148410.5814</v>
      </c>
      <c r="S59" s="23">
        <f t="shared" si="105"/>
        <v>148410.5814</v>
      </c>
      <c r="T59" s="23">
        <f t="shared" si="105"/>
        <v>148410.5814</v>
      </c>
      <c r="U59" s="23">
        <f t="shared" si="105"/>
        <v>148410.5814</v>
      </c>
      <c r="V59" s="23">
        <f t="shared" si="105"/>
        <v>132146.40809589039</v>
      </c>
      <c r="W59" s="19" t="s">
        <v>14</v>
      </c>
    </row>
    <row r="60" spans="1:23" ht="31.5" x14ac:dyDescent="0.5">
      <c r="A60" s="7" t="s">
        <v>15</v>
      </c>
      <c r="B60" s="24">
        <f t="shared" ref="B60:V60" si="106">B59*B55</f>
        <v>0</v>
      </c>
      <c r="C60" s="24">
        <f t="shared" si="106"/>
        <v>3872.1074433848216</v>
      </c>
      <c r="D60" s="24">
        <f t="shared" si="106"/>
        <v>5676.295997028591</v>
      </c>
      <c r="E60" s="24">
        <f t="shared" si="106"/>
        <v>5001.1418476022827</v>
      </c>
      <c r="F60" s="24">
        <f t="shared" si="106"/>
        <v>4406.2923767420998</v>
      </c>
      <c r="G60" s="24">
        <f t="shared" si="106"/>
        <v>3882.1959266450222</v>
      </c>
      <c r="H60" s="24">
        <f t="shared" si="106"/>
        <v>10542.442622595234</v>
      </c>
      <c r="I60" s="24">
        <f t="shared" si="106"/>
        <v>60272.016559917902</v>
      </c>
      <c r="J60" s="24">
        <f t="shared" si="106"/>
        <v>53103.098290676571</v>
      </c>
      <c r="K60" s="24">
        <f t="shared" si="106"/>
        <v>46786.8707406842</v>
      </c>
      <c r="L60" s="24">
        <f t="shared" si="106"/>
        <v>41221.912546858322</v>
      </c>
      <c r="M60" s="24">
        <f t="shared" si="106"/>
        <v>36318.865680051378</v>
      </c>
      <c r="N60" s="24">
        <f t="shared" si="106"/>
        <v>31999.00059916421</v>
      </c>
      <c r="O60" s="24">
        <f t="shared" si="106"/>
        <v>28192.952069748204</v>
      </c>
      <c r="P60" s="24">
        <f t="shared" si="106"/>
        <v>24839.605347795776</v>
      </c>
      <c r="Q60" s="24">
        <f t="shared" si="106"/>
        <v>21885.114843872929</v>
      </c>
      <c r="R60" s="24">
        <f t="shared" si="106"/>
        <v>19282.039510020204</v>
      </c>
      <c r="S60" s="24">
        <f t="shared" si="106"/>
        <v>16988.581066097096</v>
      </c>
      <c r="T60" s="24">
        <f t="shared" si="106"/>
        <v>14967.912833565724</v>
      </c>
      <c r="U60" s="24">
        <f t="shared" si="106"/>
        <v>13187.588399617378</v>
      </c>
      <c r="V60" s="24">
        <f t="shared" si="106"/>
        <v>10482.338685113171</v>
      </c>
      <c r="W60" s="25">
        <f t="shared" ref="W60" si="107">SUM(B60:V60)</f>
        <v>452908.37338718114</v>
      </c>
    </row>
  </sheetData>
  <sheetProtection sheet="1" objects="1" scenarios="1" selectLockedCells="1" selectUnlockedCells="1"/>
  <mergeCells count="3">
    <mergeCell ref="B2:C2"/>
    <mergeCell ref="B23:C23"/>
    <mergeCell ref="B43:C43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W990"/>
  <sheetViews>
    <sheetView topLeftCell="A10" zoomScale="70" zoomScaleNormal="70" workbookViewId="0">
      <selection activeCell="N32" sqref="N32"/>
    </sheetView>
  </sheetViews>
  <sheetFormatPr defaultColWidth="14.42578125" defaultRowHeight="15" x14ac:dyDescent="0.25"/>
  <cols>
    <col min="1" max="1" width="37.28515625" style="89" customWidth="1"/>
    <col min="2" max="2" width="17.7109375" style="89" customWidth="1"/>
    <col min="3" max="3" width="14" style="89" customWidth="1"/>
    <col min="4" max="4" width="19.28515625" style="89" customWidth="1"/>
    <col min="5" max="22" width="9.140625" style="89" customWidth="1"/>
    <col min="23" max="23" width="36.42578125" style="89" customWidth="1"/>
    <col min="24" max="26" width="8.7109375" style="89" customWidth="1"/>
    <col min="27" max="16384" width="14.42578125" style="89"/>
  </cols>
  <sheetData>
    <row r="1" spans="1:23" ht="22.5" x14ac:dyDescent="0.25">
      <c r="A1" s="206" t="s">
        <v>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3" x14ac:dyDescent="0.25">
      <c r="F2" s="6"/>
    </row>
    <row r="3" spans="1:23" x14ac:dyDescent="0.25">
      <c r="A3" s="95" t="s">
        <v>2</v>
      </c>
      <c r="B3" s="92">
        <v>1</v>
      </c>
      <c r="C3" s="92">
        <f t="shared" ref="C3:V3" si="0">B3+1</f>
        <v>2</v>
      </c>
      <c r="D3" s="92">
        <f t="shared" si="0"/>
        <v>3</v>
      </c>
      <c r="E3" s="92">
        <f t="shared" si="0"/>
        <v>4</v>
      </c>
      <c r="F3" s="92">
        <f t="shared" si="0"/>
        <v>5</v>
      </c>
      <c r="G3" s="92">
        <f t="shared" si="0"/>
        <v>6</v>
      </c>
      <c r="H3" s="92">
        <f t="shared" si="0"/>
        <v>7</v>
      </c>
      <c r="I3" s="92">
        <f t="shared" si="0"/>
        <v>8</v>
      </c>
      <c r="J3" s="92">
        <f t="shared" si="0"/>
        <v>9</v>
      </c>
      <c r="K3" s="92">
        <f t="shared" si="0"/>
        <v>10</v>
      </c>
      <c r="L3" s="92">
        <f t="shared" si="0"/>
        <v>11</v>
      </c>
      <c r="M3" s="92">
        <f t="shared" si="0"/>
        <v>12</v>
      </c>
      <c r="N3" s="92">
        <f t="shared" si="0"/>
        <v>13</v>
      </c>
      <c r="O3" s="92">
        <f t="shared" si="0"/>
        <v>14</v>
      </c>
      <c r="P3" s="92">
        <f t="shared" si="0"/>
        <v>15</v>
      </c>
      <c r="Q3" s="92">
        <f t="shared" si="0"/>
        <v>16</v>
      </c>
      <c r="R3" s="92">
        <f t="shared" si="0"/>
        <v>17</v>
      </c>
      <c r="S3" s="92">
        <f t="shared" si="0"/>
        <v>18</v>
      </c>
      <c r="T3" s="92">
        <f t="shared" si="0"/>
        <v>19</v>
      </c>
      <c r="U3" s="92">
        <f t="shared" si="0"/>
        <v>20</v>
      </c>
      <c r="V3" s="92">
        <f t="shared" si="0"/>
        <v>21</v>
      </c>
    </row>
    <row r="4" spans="1:23" x14ac:dyDescent="0.25">
      <c r="A4" s="95" t="s">
        <v>3</v>
      </c>
      <c r="B4" s="92">
        <f t="shared" ref="B4:V4" si="1">YEAR(startDate)-1+B3</f>
        <v>2017</v>
      </c>
      <c r="C4" s="92">
        <f t="shared" si="1"/>
        <v>2018</v>
      </c>
      <c r="D4" s="92">
        <f t="shared" si="1"/>
        <v>2019</v>
      </c>
      <c r="E4" s="92">
        <f t="shared" si="1"/>
        <v>2020</v>
      </c>
      <c r="F4" s="92">
        <f t="shared" si="1"/>
        <v>2021</v>
      </c>
      <c r="G4" s="92">
        <f t="shared" si="1"/>
        <v>2022</v>
      </c>
      <c r="H4" s="92">
        <f t="shared" si="1"/>
        <v>2023</v>
      </c>
      <c r="I4" s="92">
        <f t="shared" si="1"/>
        <v>2024</v>
      </c>
      <c r="J4" s="92">
        <f t="shared" si="1"/>
        <v>2025</v>
      </c>
      <c r="K4" s="92">
        <f t="shared" si="1"/>
        <v>2026</v>
      </c>
      <c r="L4" s="92">
        <f t="shared" si="1"/>
        <v>2027</v>
      </c>
      <c r="M4" s="92">
        <f t="shared" si="1"/>
        <v>2028</v>
      </c>
      <c r="N4" s="92">
        <f t="shared" si="1"/>
        <v>2029</v>
      </c>
      <c r="O4" s="92">
        <f t="shared" si="1"/>
        <v>2030</v>
      </c>
      <c r="P4" s="92">
        <f t="shared" si="1"/>
        <v>2031</v>
      </c>
      <c r="Q4" s="92">
        <f t="shared" si="1"/>
        <v>2032</v>
      </c>
      <c r="R4" s="92">
        <f t="shared" si="1"/>
        <v>2033</v>
      </c>
      <c r="S4" s="92">
        <f t="shared" si="1"/>
        <v>2034</v>
      </c>
      <c r="T4" s="92">
        <f t="shared" si="1"/>
        <v>2035</v>
      </c>
      <c r="U4" s="92">
        <f t="shared" si="1"/>
        <v>2036</v>
      </c>
      <c r="V4" s="92">
        <f t="shared" si="1"/>
        <v>2037</v>
      </c>
    </row>
    <row r="5" spans="1:23" ht="30" x14ac:dyDescent="0.25">
      <c r="A5" s="96" t="s">
        <v>12</v>
      </c>
      <c r="B5" s="93">
        <f>'Тендерна пропозиція'!B16</f>
        <v>40</v>
      </c>
      <c r="C5" s="93">
        <f>'Тендерна пропозиція'!C16</f>
        <v>365</v>
      </c>
      <c r="D5" s="93">
        <f>'Тендерна пропозиція'!D16</f>
        <v>365</v>
      </c>
      <c r="E5" s="93">
        <f>'Тендерна пропозиція'!E16</f>
        <v>365</v>
      </c>
      <c r="F5" s="93">
        <f>'Тендерна пропозиція'!F16</f>
        <v>365</v>
      </c>
      <c r="G5" s="93">
        <f>'Тендерна пропозиція'!G16</f>
        <v>365</v>
      </c>
      <c r="H5" s="93">
        <f>'Тендерна пропозиція'!H16</f>
        <v>325</v>
      </c>
      <c r="I5" s="93">
        <f>'Тендерна пропозиція'!I16</f>
        <v>0</v>
      </c>
      <c r="J5" s="93">
        <f>'Тендерна пропозиція'!J16</f>
        <v>0</v>
      </c>
      <c r="K5" s="93">
        <f>'Тендерна пропозиція'!K16</f>
        <v>0</v>
      </c>
      <c r="L5" s="93">
        <f>'Тендерна пропозиція'!L16</f>
        <v>0</v>
      </c>
      <c r="M5" s="93">
        <f>'Тендерна пропозиція'!M16</f>
        <v>0</v>
      </c>
      <c r="N5" s="93">
        <f>'Тендерна пропозиція'!N16</f>
        <v>0</v>
      </c>
      <c r="O5" s="93">
        <f>'Тендерна пропозиція'!O16</f>
        <v>0</v>
      </c>
      <c r="P5" s="93">
        <f>'Тендерна пропозиція'!P16</f>
        <v>0</v>
      </c>
      <c r="Q5" s="93"/>
      <c r="R5" s="93"/>
      <c r="S5" s="93"/>
      <c r="T5" s="93"/>
      <c r="U5" s="93"/>
      <c r="V5" s="93"/>
    </row>
    <row r="6" spans="1:23" ht="15" customHeight="1" x14ac:dyDescent="0.25">
      <c r="A6" s="95" t="s">
        <v>61</v>
      </c>
      <c r="B6" s="94">
        <f>'Тендерна пропозиція'!B8</f>
        <v>0</v>
      </c>
      <c r="C6" s="94">
        <f>'Тендерна пропозиція'!C8</f>
        <v>89197.230554999987</v>
      </c>
      <c r="D6" s="94">
        <f>'Тендерна пропозиція'!D8</f>
        <v>148410.5814</v>
      </c>
      <c r="E6" s="94">
        <f>'Тендерна пропозиція'!E8</f>
        <v>148410.5814</v>
      </c>
      <c r="F6" s="94">
        <f>'Тендерна пропозиція'!F8</f>
        <v>148410.5814</v>
      </c>
      <c r="G6" s="94">
        <f>'Тендерна пропозиція'!G8</f>
        <v>148410.5814</v>
      </c>
      <c r="H6" s="94">
        <f>'Тендерна пропозиція'!H8</f>
        <v>148410.5814</v>
      </c>
      <c r="I6" s="94">
        <f>'Тендерна пропозиція'!I8</f>
        <v>148410.5814</v>
      </c>
      <c r="J6" s="94">
        <f>'Тендерна пропозиція'!J8</f>
        <v>148410.5814</v>
      </c>
      <c r="K6" s="94">
        <f>'Тендерна пропозиція'!K8</f>
        <v>148410.5814</v>
      </c>
      <c r="L6" s="94">
        <f>'Тендерна пропозиція'!L8</f>
        <v>148410.5814</v>
      </c>
      <c r="M6" s="94">
        <f>'Тендерна пропозиція'!M8</f>
        <v>148410.5814</v>
      </c>
      <c r="N6" s="94">
        <f>'Тендерна пропозиція'!N8</f>
        <v>148410.5814</v>
      </c>
      <c r="O6" s="94">
        <f>'Тендерна пропозиція'!O8</f>
        <v>148410.5814</v>
      </c>
      <c r="P6" s="94">
        <f>'Тендерна пропозиція'!P8</f>
        <v>148410.5814</v>
      </c>
      <c r="Q6" s="94">
        <f>'Тендерна пропозиція'!Q8</f>
        <v>148410.5814</v>
      </c>
      <c r="R6" s="94">
        <f>'Тендерна пропозиція'!R8</f>
        <v>148410.5814</v>
      </c>
      <c r="S6" s="94">
        <f>'Тендерна пропозиція'!S8</f>
        <v>148410.5814</v>
      </c>
      <c r="T6" s="94">
        <f>'Тендерна пропозиція'!T8</f>
        <v>148410.5814</v>
      </c>
      <c r="U6" s="94">
        <f>'Тендерна пропозиція'!U8</f>
        <v>148410.5814</v>
      </c>
      <c r="V6" s="94">
        <f>'Тендерна пропозиція'!V8</f>
        <v>148410.5814</v>
      </c>
    </row>
    <row r="7" spans="1:23" ht="15" customHeight="1" x14ac:dyDescent="0.25">
      <c r="A7" s="96" t="s">
        <v>10</v>
      </c>
      <c r="B7" s="94">
        <f>'Тендерна пропозиція'!B14</f>
        <v>0.98542116630669552</v>
      </c>
      <c r="C7" s="94">
        <f>'Тендерна пропозиція'!C14</f>
        <v>0.86821248132748507</v>
      </c>
      <c r="D7" s="94">
        <f>'Тендерна пропозиція'!D14</f>
        <v>0.76494491746914983</v>
      </c>
      <c r="E7" s="94">
        <f>'Тендерна пропозиція'!E14</f>
        <v>0.67396027970850203</v>
      </c>
      <c r="F7" s="94">
        <f>'Тендерна пропозиція'!F14</f>
        <v>0.59379760326740272</v>
      </c>
      <c r="G7" s="94">
        <f>'Тендерна пропозиція'!G14</f>
        <v>0.52316969450872486</v>
      </c>
      <c r="H7" s="94">
        <f>'Тендерна пропозиція'!H14</f>
        <v>0.46094246212222456</v>
      </c>
      <c r="I7" s="94">
        <f>'Тендерна пропозиція'!I14</f>
        <v>0.40611670671561634</v>
      </c>
      <c r="J7" s="94">
        <f>'Тендерна пропозиція'!J14</f>
        <v>0.3578120764014241</v>
      </c>
      <c r="K7" s="94">
        <f>'Тендерна пропозиція'!K14</f>
        <v>0.31525293075015337</v>
      </c>
      <c r="L7" s="94">
        <f>'Тендерна пропозиція'!L14</f>
        <v>0.27775588612348312</v>
      </c>
      <c r="M7" s="94">
        <f>'Тендерна пропозиція'!M14</f>
        <v>0.24471884239954458</v>
      </c>
      <c r="N7" s="94">
        <f>'Тендерна пропозиція'!N14</f>
        <v>0.21561131488946658</v>
      </c>
      <c r="O7" s="94">
        <f>'Тендерна пропозиція'!O14</f>
        <v>0.18996591620217321</v>
      </c>
      <c r="P7" s="94">
        <f>'Тендерна пропозиція'!P14</f>
        <v>0.16737085127944776</v>
      </c>
      <c r="Q7" s="94">
        <f>'Тендерна пропозиція'!Q14</f>
        <v>0.14746330509202446</v>
      </c>
      <c r="R7" s="94">
        <f>'Тендерна пропозиція'!R14</f>
        <v>0.12992361682116693</v>
      </c>
      <c r="S7" s="94">
        <f>'Тендерна пропозиція'!S14</f>
        <v>0.11447014697900171</v>
      </c>
      <c r="T7" s="94">
        <f>'Тендерна пропозиція'!T14</f>
        <v>0.1008547550475786</v>
      </c>
      <c r="U7" s="94">
        <f>'Тендерна пропозиція'!U14</f>
        <v>8.8858815019893039E-2</v>
      </c>
      <c r="V7" s="94">
        <f>'Тендерна пропозиція'!V14</f>
        <v>7.9323674673826866E-2</v>
      </c>
    </row>
    <row r="8" spans="1:23" x14ac:dyDescent="0.25">
      <c r="A8" s="95" t="s">
        <v>63</v>
      </c>
      <c r="B8" s="94">
        <f>'Тендерна пропозиція'!B17</f>
        <v>0</v>
      </c>
      <c r="C8" s="94">
        <f>'Тендерна пропозиція'!C17</f>
        <v>81169.479805049996</v>
      </c>
      <c r="D8" s="94">
        <f>'Тендерна пропозиція'!D17</f>
        <v>135053.629074</v>
      </c>
      <c r="E8" s="94">
        <f>'Тендерна пропозиція'!E17</f>
        <v>135053.629074</v>
      </c>
      <c r="F8" s="94">
        <f>'Тендерна пропозиція'!F17</f>
        <v>135053.629074</v>
      </c>
      <c r="G8" s="94">
        <f>'Тендерна пропозиція'!G17</f>
        <v>135053.629074</v>
      </c>
      <c r="H8" s="94">
        <f>'Тендерна пропозиція'!H17</f>
        <v>120253.23136726028</v>
      </c>
      <c r="I8" s="94">
        <f>'Тендерна пропозиція'!I17</f>
        <v>0</v>
      </c>
      <c r="J8" s="94">
        <f>'Тендерна пропозиція'!J17</f>
        <v>0</v>
      </c>
      <c r="K8" s="94">
        <f>'Тендерна пропозиція'!K17</f>
        <v>0</v>
      </c>
      <c r="L8" s="94">
        <f>'Тендерна пропозиція'!L17</f>
        <v>0</v>
      </c>
      <c r="M8" s="94">
        <f>'Тендерна пропозиція'!M17</f>
        <v>0</v>
      </c>
      <c r="N8" s="94">
        <f>'Тендерна пропозиція'!N17</f>
        <v>0</v>
      </c>
      <c r="O8" s="94">
        <f>'Тендерна пропозиція'!O17</f>
        <v>0</v>
      </c>
      <c r="P8" s="94">
        <f>'Тендерна пропозиція'!P17</f>
        <v>0</v>
      </c>
      <c r="Q8" s="94">
        <f>'Тендерна пропозиція'!Q17</f>
        <v>0</v>
      </c>
      <c r="R8" s="94">
        <f>'Тендерна пропозиція'!R17</f>
        <v>0</v>
      </c>
      <c r="S8" s="94">
        <f>'Тендерна пропозиція'!S17</f>
        <v>0</v>
      </c>
      <c r="T8" s="94">
        <f>'Тендерна пропозиція'!T17</f>
        <v>0</v>
      </c>
      <c r="U8" s="94">
        <f>'Тендерна пропозиція'!U17</f>
        <v>0</v>
      </c>
      <c r="V8" s="94">
        <f>'Тендерна пропозиція'!V17</f>
        <v>0</v>
      </c>
    </row>
    <row r="9" spans="1:23" x14ac:dyDescent="0.25">
      <c r="A9" s="95" t="s">
        <v>62</v>
      </c>
      <c r="B9" s="94">
        <f>'Тендерна пропозиція'!B18</f>
        <v>0</v>
      </c>
      <c r="C9" s="94">
        <f>'Тендерна пропозиція'!C18</f>
        <v>8027.7507499499916</v>
      </c>
      <c r="D9" s="94">
        <f>'Тендерна пропозиція'!D18</f>
        <v>13356.952325999999</v>
      </c>
      <c r="E9" s="94">
        <f>'Тендерна пропозиція'!E18</f>
        <v>13356.952325999999</v>
      </c>
      <c r="F9" s="94">
        <f>'Тендерна пропозиція'!F18</f>
        <v>13356.952325999999</v>
      </c>
      <c r="G9" s="94">
        <f>'Тендерна пропозиція'!G18</f>
        <v>13356.952325999999</v>
      </c>
      <c r="H9" s="94">
        <f>'Тендерна пропозиція'!H18</f>
        <v>28157.35003273972</v>
      </c>
      <c r="I9" s="94">
        <f>'Тендерна пропозиція'!I18</f>
        <v>148410.5814</v>
      </c>
      <c r="J9" s="94">
        <f>'Тендерна пропозиція'!J18</f>
        <v>148410.5814</v>
      </c>
      <c r="K9" s="94">
        <f>'Тендерна пропозиція'!K18</f>
        <v>148410.5814</v>
      </c>
      <c r="L9" s="94">
        <f>'Тендерна пропозиція'!L18</f>
        <v>148410.5814</v>
      </c>
      <c r="M9" s="94">
        <f>'Тендерна пропозиція'!M18</f>
        <v>148410.5814</v>
      </c>
      <c r="N9" s="94">
        <f>'Тендерна пропозиція'!N18</f>
        <v>148410.5814</v>
      </c>
      <c r="O9" s="94">
        <f>'Тендерна пропозиція'!O18</f>
        <v>148410.5814</v>
      </c>
      <c r="P9" s="94">
        <f>'Тендерна пропозиція'!P18</f>
        <v>148410.5814</v>
      </c>
      <c r="Q9" s="94">
        <f>'Тендерна пропозиція'!Q18</f>
        <v>148410.5814</v>
      </c>
      <c r="R9" s="94">
        <f>'Тендерна пропозиція'!R18</f>
        <v>148410.5814</v>
      </c>
      <c r="S9" s="94">
        <f>'Тендерна пропозиція'!S18</f>
        <v>148410.5814</v>
      </c>
      <c r="T9" s="94">
        <f>'Тендерна пропозиція'!T18</f>
        <v>148410.5814</v>
      </c>
      <c r="U9" s="94">
        <f>'Тендерна пропозиція'!U18</f>
        <v>148410.5814</v>
      </c>
      <c r="V9" s="94">
        <f>'Тендерна пропозиція'!V18</f>
        <v>132146.40809589039</v>
      </c>
    </row>
    <row r="10" spans="1:23" x14ac:dyDescent="0.25">
      <c r="A10" s="95" t="s">
        <v>15</v>
      </c>
      <c r="B10" s="94">
        <f>'Тендерна пропозиція'!B19</f>
        <v>0</v>
      </c>
      <c r="C10" s="94">
        <f>'Тендерна пропозиція'!C19</f>
        <v>6969.7933980926609</v>
      </c>
      <c r="D10" s="94">
        <f>'Тендерна пропозиція'!D19</f>
        <v>10217.332794651438</v>
      </c>
      <c r="E10" s="94">
        <f>'Тендерна пропозиція'!E19</f>
        <v>9002.0553256840867</v>
      </c>
      <c r="F10" s="94">
        <f>'Тендерна пропозиція'!F19</f>
        <v>7931.3262781357589</v>
      </c>
      <c r="G10" s="94">
        <f>'Тендерна пропозиція'!G19</f>
        <v>6987.9526679610217</v>
      </c>
      <c r="H10" s="94">
        <f>'Тендерна пропозиція'!H19</f>
        <v>12978.918250928347</v>
      </c>
      <c r="I10" s="94">
        <f>'Тендерна пропозиція'!I19</f>
        <v>60272.016559917902</v>
      </c>
      <c r="J10" s="94">
        <f>'Тендерна пропозиція'!J19</f>
        <v>53103.098290676571</v>
      </c>
      <c r="K10" s="94">
        <f>'Тендерна пропозиція'!K19</f>
        <v>46786.8707406842</v>
      </c>
      <c r="L10" s="94">
        <f>'Тендерна пропозиція'!L19</f>
        <v>41221.912546858322</v>
      </c>
      <c r="M10" s="94">
        <f>'Тендерна пропозиція'!M19</f>
        <v>36318.865680051378</v>
      </c>
      <c r="N10" s="94">
        <f>'Тендерна пропозиція'!N19</f>
        <v>31999.00059916421</v>
      </c>
      <c r="O10" s="94">
        <f>'Тендерна пропозиція'!O19</f>
        <v>28192.952069748204</v>
      </c>
      <c r="P10" s="94">
        <f>'Тендерна пропозиція'!P19</f>
        <v>24839.605347795776</v>
      </c>
      <c r="Q10" s="94">
        <f>'Тендерна пропозиція'!Q19</f>
        <v>21885.114843872929</v>
      </c>
      <c r="R10" s="94">
        <f>'Тендерна пропозиція'!R19</f>
        <v>19282.039510020204</v>
      </c>
      <c r="S10" s="94">
        <f>'Тендерна пропозиція'!S19</f>
        <v>16988.581066097096</v>
      </c>
      <c r="T10" s="94">
        <f>'Тендерна пропозиція'!T19</f>
        <v>14967.912833565724</v>
      </c>
      <c r="U10" s="94">
        <f>'Тендерна пропозиція'!U19</f>
        <v>13187.588399617378</v>
      </c>
      <c r="V10" s="94">
        <f>'Тендерна пропозиція'!V19</f>
        <v>10482.338685113171</v>
      </c>
    </row>
    <row r="12" spans="1:23" ht="21" x14ac:dyDescent="0.3">
      <c r="A12" s="98" t="s">
        <v>69</v>
      </c>
      <c r="B12" s="123">
        <f>SUM(B8:V8)</f>
        <v>741637.22746831016</v>
      </c>
      <c r="C12" s="100"/>
      <c r="D12" s="100"/>
      <c r="W12" s="27"/>
    </row>
    <row r="13" spans="1:23" ht="21" x14ac:dyDescent="0.25">
      <c r="A13" s="98" t="s">
        <v>14</v>
      </c>
      <c r="B13" s="99">
        <f>SUM(B10:V10)</f>
        <v>473615.27588863642</v>
      </c>
      <c r="C13" s="100"/>
      <c r="D13" s="100"/>
    </row>
    <row r="14" spans="1:23" ht="84" x14ac:dyDescent="0.25">
      <c r="A14" s="116" t="s">
        <v>67</v>
      </c>
      <c r="B14" s="117">
        <f>yearlyPaymentsPercentage</f>
        <v>0.91</v>
      </c>
      <c r="C14" s="100"/>
      <c r="D14" s="100"/>
    </row>
    <row r="15" spans="1:23" s="105" customFormat="1" ht="21" x14ac:dyDescent="0.25">
      <c r="A15" s="111"/>
      <c r="B15" s="112"/>
      <c r="C15" s="104"/>
      <c r="D15" s="104"/>
    </row>
    <row r="16" spans="1:23" ht="21" x14ac:dyDescent="0.25">
      <c r="A16" s="101" t="s">
        <v>71</v>
      </c>
      <c r="B16" s="113" t="s">
        <v>64</v>
      </c>
      <c r="C16" s="113" t="s">
        <v>65</v>
      </c>
      <c r="D16" s="113" t="s">
        <v>66</v>
      </c>
    </row>
    <row r="17" spans="1:22" ht="21" x14ac:dyDescent="0.25">
      <c r="A17" s="102">
        <f>'Оголошення закупівлі'!B13</f>
        <v>0.02</v>
      </c>
      <c r="B17" s="103">
        <v>0.02</v>
      </c>
      <c r="C17" s="103">
        <v>0.03</v>
      </c>
      <c r="D17" s="103">
        <v>0</v>
      </c>
    </row>
    <row r="18" spans="1:22" ht="63" x14ac:dyDescent="0.25">
      <c r="A18" s="118" t="s">
        <v>78</v>
      </c>
      <c r="B18" s="119">
        <f>INDEX(A24:V38,7,contractDurationYears+2)</f>
        <v>0.80368033887326351</v>
      </c>
      <c r="C18" s="119">
        <f>INDEX(A24:V38,11,contractDurationYears+2)</f>
        <v>0.7935920792671648</v>
      </c>
      <c r="D18" s="119">
        <f>INDEX(A24:V38,15,contractDurationYears+2)</f>
        <v>0.7935920792671648</v>
      </c>
    </row>
    <row r="19" spans="1:22" ht="21" x14ac:dyDescent="0.25">
      <c r="A19" s="106" t="s">
        <v>73</v>
      </c>
      <c r="B19" s="122">
        <f>B13*(1+B17)</f>
        <v>483087.58140640915</v>
      </c>
      <c r="C19" s="122">
        <f>B19*(1+C17)</f>
        <v>497580.20884860144</v>
      </c>
      <c r="D19" s="122">
        <f>C19*(1+D17)</f>
        <v>497580.20884860144</v>
      </c>
    </row>
    <row r="20" spans="1:22" ht="21" x14ac:dyDescent="0.25">
      <c r="A20" s="106" t="s">
        <v>72</v>
      </c>
      <c r="B20" s="122">
        <f>B19-B13</f>
        <v>9472.3055177727365</v>
      </c>
      <c r="C20" s="122">
        <f>C19-B19</f>
        <v>14492.627442192286</v>
      </c>
      <c r="D20" s="122">
        <f>D19-C19</f>
        <v>0</v>
      </c>
    </row>
    <row r="21" spans="1:22" ht="42" x14ac:dyDescent="0.25">
      <c r="A21" s="107" t="s">
        <v>74</v>
      </c>
      <c r="B21" s="122">
        <f>SUM(B29:P29)</f>
        <v>736800.66542104236</v>
      </c>
      <c r="C21" s="122">
        <f>SUM(B33:P33)</f>
        <v>729400.72548872279</v>
      </c>
      <c r="D21" s="122">
        <f>SUM(B37:P37)</f>
        <v>729400.72548872279</v>
      </c>
    </row>
    <row r="22" spans="1:22" ht="42" x14ac:dyDescent="0.25">
      <c r="A22" s="107" t="s">
        <v>75</v>
      </c>
      <c r="B22" s="122">
        <f>B12-B21</f>
        <v>4836.5620472677983</v>
      </c>
      <c r="C22" s="122">
        <f>B21-C21</f>
        <v>7399.9399323195685</v>
      </c>
      <c r="D22" s="122">
        <f>C21-D21</f>
        <v>0</v>
      </c>
    </row>
    <row r="23" spans="1:22" ht="21" x14ac:dyDescent="0.25">
      <c r="A23" s="108"/>
      <c r="B23" s="109"/>
      <c r="C23" s="109"/>
      <c r="D23" s="109"/>
    </row>
    <row r="24" spans="1:22" x14ac:dyDescent="0.25">
      <c r="A24" s="92" t="s">
        <v>2</v>
      </c>
      <c r="B24" s="92">
        <v>1</v>
      </c>
      <c r="C24" s="92">
        <f t="shared" ref="C24" si="2">B24+1</f>
        <v>2</v>
      </c>
      <c r="D24" s="92">
        <f t="shared" ref="D24" si="3">C24+1</f>
        <v>3</v>
      </c>
      <c r="E24" s="92">
        <f t="shared" ref="E24" si="4">D24+1</f>
        <v>4</v>
      </c>
      <c r="F24" s="92">
        <f t="shared" ref="F24" si="5">E24+1</f>
        <v>5</v>
      </c>
      <c r="G24" s="92">
        <f t="shared" ref="G24" si="6">F24+1</f>
        <v>6</v>
      </c>
      <c r="H24" s="92">
        <f t="shared" ref="H24" si="7">G24+1</f>
        <v>7</v>
      </c>
      <c r="I24" s="92">
        <f t="shared" ref="I24" si="8">H24+1</f>
        <v>8</v>
      </c>
      <c r="J24" s="92">
        <f t="shared" ref="J24" si="9">I24+1</f>
        <v>9</v>
      </c>
      <c r="K24" s="92">
        <f t="shared" ref="K24" si="10">J24+1</f>
        <v>10</v>
      </c>
      <c r="L24" s="92">
        <f t="shared" ref="L24" si="11">K24+1</f>
        <v>11</v>
      </c>
      <c r="M24" s="92">
        <f t="shared" ref="M24" si="12">L24+1</f>
        <v>12</v>
      </c>
      <c r="N24" s="92">
        <f t="shared" ref="N24" si="13">M24+1</f>
        <v>13</v>
      </c>
      <c r="O24" s="92">
        <f t="shared" ref="O24" si="14">N24+1</f>
        <v>14</v>
      </c>
      <c r="P24" s="92">
        <f t="shared" ref="P24" si="15">O24+1</f>
        <v>15</v>
      </c>
      <c r="Q24" s="92">
        <f t="shared" ref="Q24" si="16">P24+1</f>
        <v>16</v>
      </c>
      <c r="R24" s="92">
        <f t="shared" ref="R24" si="17">Q24+1</f>
        <v>17</v>
      </c>
      <c r="S24" s="92">
        <f t="shared" ref="S24" si="18">R24+1</f>
        <v>18</v>
      </c>
      <c r="T24" s="92">
        <f t="shared" ref="T24" si="19">S24+1</f>
        <v>19</v>
      </c>
      <c r="U24" s="92">
        <f t="shared" ref="U24" si="20">T24+1</f>
        <v>20</v>
      </c>
      <c r="V24" s="92">
        <f t="shared" ref="V24" si="21">U24+1</f>
        <v>21</v>
      </c>
    </row>
    <row r="25" spans="1:22" x14ac:dyDescent="0.25">
      <c r="A25" s="92" t="s">
        <v>3</v>
      </c>
      <c r="B25" s="92">
        <f t="shared" ref="B25:V25" si="22">YEAR(startDate)-1+B24</f>
        <v>2017</v>
      </c>
      <c r="C25" s="92">
        <f t="shared" si="22"/>
        <v>2018</v>
      </c>
      <c r="D25" s="92">
        <f t="shared" si="22"/>
        <v>2019</v>
      </c>
      <c r="E25" s="92">
        <f t="shared" si="22"/>
        <v>2020</v>
      </c>
      <c r="F25" s="92">
        <f t="shared" si="22"/>
        <v>2021</v>
      </c>
      <c r="G25" s="92">
        <f t="shared" si="22"/>
        <v>2022</v>
      </c>
      <c r="H25" s="92">
        <f t="shared" si="22"/>
        <v>2023</v>
      </c>
      <c r="I25" s="92">
        <f t="shared" si="22"/>
        <v>2024</v>
      </c>
      <c r="J25" s="92">
        <f t="shared" si="22"/>
        <v>2025</v>
      </c>
      <c r="K25" s="92">
        <f t="shared" si="22"/>
        <v>2026</v>
      </c>
      <c r="L25" s="92">
        <f t="shared" si="22"/>
        <v>2027</v>
      </c>
      <c r="M25" s="92">
        <f t="shared" si="22"/>
        <v>2028</v>
      </c>
      <c r="N25" s="92">
        <f t="shared" si="22"/>
        <v>2029</v>
      </c>
      <c r="O25" s="92">
        <f t="shared" si="22"/>
        <v>2030</v>
      </c>
      <c r="P25" s="92">
        <f t="shared" si="22"/>
        <v>2031</v>
      </c>
      <c r="Q25" s="92">
        <f t="shared" si="22"/>
        <v>2032</v>
      </c>
      <c r="R25" s="92">
        <f t="shared" si="22"/>
        <v>2033</v>
      </c>
      <c r="S25" s="92">
        <f t="shared" si="22"/>
        <v>2034</v>
      </c>
      <c r="T25" s="92">
        <f t="shared" si="22"/>
        <v>2035</v>
      </c>
      <c r="U25" s="92">
        <f t="shared" si="22"/>
        <v>2036</v>
      </c>
      <c r="V25" s="92">
        <f t="shared" si="22"/>
        <v>2037</v>
      </c>
    </row>
    <row r="26" spans="1:22" ht="30" x14ac:dyDescent="0.25">
      <c r="A26" s="93" t="s">
        <v>12</v>
      </c>
      <c r="B26" s="110">
        <f>'Тендерна пропозиція'!B16</f>
        <v>40</v>
      </c>
      <c r="C26" s="110">
        <f>'Тендерна пропозиція'!C16</f>
        <v>365</v>
      </c>
      <c r="D26" s="110">
        <f>'Тендерна пропозиція'!D16</f>
        <v>365</v>
      </c>
      <c r="E26" s="110">
        <f>'Тендерна пропозиція'!E16</f>
        <v>365</v>
      </c>
      <c r="F26" s="110">
        <f>'Тендерна пропозиція'!F16</f>
        <v>365</v>
      </c>
      <c r="G26" s="110">
        <f>'Тендерна пропозиція'!G16</f>
        <v>365</v>
      </c>
      <c r="H26" s="110">
        <f>'Тендерна пропозиція'!H16</f>
        <v>325</v>
      </c>
      <c r="I26" s="110">
        <f>'Тендерна пропозиція'!I16</f>
        <v>0</v>
      </c>
      <c r="J26" s="110">
        <f>'Тендерна пропозиція'!J16</f>
        <v>0</v>
      </c>
      <c r="K26" s="110">
        <f>'Тендерна пропозиція'!K16</f>
        <v>0</v>
      </c>
      <c r="L26" s="110">
        <f>'Тендерна пропозиція'!L16</f>
        <v>0</v>
      </c>
      <c r="M26" s="110">
        <f>'Тендерна пропозиція'!M16</f>
        <v>0</v>
      </c>
      <c r="N26" s="110">
        <f>'Тендерна пропозиція'!N16</f>
        <v>0</v>
      </c>
      <c r="O26" s="110">
        <f>'Тендерна пропозиція'!O16</f>
        <v>0</v>
      </c>
      <c r="P26" s="110">
        <f>'Тендерна пропозиція'!P16</f>
        <v>0</v>
      </c>
      <c r="Q26" s="110"/>
      <c r="R26" s="110"/>
      <c r="S26" s="110"/>
      <c r="T26" s="110"/>
      <c r="U26" s="110"/>
      <c r="V26" s="110"/>
    </row>
    <row r="27" spans="1:22" ht="22.5" x14ac:dyDescent="0.25">
      <c r="A27" s="208" t="s">
        <v>64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</row>
    <row r="28" spans="1:22" ht="30" x14ac:dyDescent="0.25">
      <c r="A28" s="93" t="s">
        <v>76</v>
      </c>
      <c r="B28" s="90">
        <f t="shared" ref="B28:V28" si="23">B10+$B$20/21</f>
        <v>451.06216751298746</v>
      </c>
      <c r="C28" s="90">
        <f t="shared" si="23"/>
        <v>7420.8555656056487</v>
      </c>
      <c r="D28" s="90">
        <f t="shared" si="23"/>
        <v>10668.394962164426</v>
      </c>
      <c r="E28" s="90">
        <f t="shared" si="23"/>
        <v>9453.1174931970745</v>
      </c>
      <c r="F28" s="90">
        <f t="shared" si="23"/>
        <v>8382.3884456487467</v>
      </c>
      <c r="G28" s="90">
        <f t="shared" si="23"/>
        <v>7439.0148354740095</v>
      </c>
      <c r="H28" s="90">
        <f t="shared" si="23"/>
        <v>13429.980418441335</v>
      </c>
      <c r="I28" s="90">
        <f t="shared" si="23"/>
        <v>60723.07872743089</v>
      </c>
      <c r="J28" s="90">
        <f t="shared" si="23"/>
        <v>53554.160458189559</v>
      </c>
      <c r="K28" s="90">
        <f t="shared" si="23"/>
        <v>47237.932908197188</v>
      </c>
      <c r="L28" s="90">
        <f t="shared" si="23"/>
        <v>41672.97471437131</v>
      </c>
      <c r="M28" s="90">
        <f t="shared" si="23"/>
        <v>36769.927847564366</v>
      </c>
      <c r="N28" s="90">
        <f t="shared" si="23"/>
        <v>32450.062766677198</v>
      </c>
      <c r="O28" s="90">
        <f t="shared" si="23"/>
        <v>28644.014237261192</v>
      </c>
      <c r="P28" s="90">
        <f t="shared" si="23"/>
        <v>25290.667515308764</v>
      </c>
      <c r="Q28" s="90">
        <f t="shared" si="23"/>
        <v>22336.177011385917</v>
      </c>
      <c r="R28" s="90">
        <f t="shared" si="23"/>
        <v>19733.101677533192</v>
      </c>
      <c r="S28" s="90">
        <f t="shared" si="23"/>
        <v>17439.643233610084</v>
      </c>
      <c r="T28" s="90">
        <f t="shared" si="23"/>
        <v>15418.975001078712</v>
      </c>
      <c r="U28" s="90">
        <f t="shared" si="23"/>
        <v>13638.650567130366</v>
      </c>
      <c r="V28" s="90">
        <f t="shared" si="23"/>
        <v>10933.400852626159</v>
      </c>
    </row>
    <row r="29" spans="1:22" s="91" customFormat="1" ht="30" x14ac:dyDescent="0.25">
      <c r="A29" s="93" t="s">
        <v>77</v>
      </c>
      <c r="B29" s="90">
        <f t="shared" ref="B29:P29" si="24">IF(B5&gt;0,B6-B28/B7,0)</f>
        <v>-457.73541601865901</v>
      </c>
      <c r="C29" s="90">
        <f t="shared" si="24"/>
        <v>80649.950107868819</v>
      </c>
      <c r="D29" s="90">
        <f t="shared" si="24"/>
        <v>134463.96286769936</v>
      </c>
      <c r="E29" s="90">
        <f t="shared" si="24"/>
        <v>134384.35792984877</v>
      </c>
      <c r="F29" s="90">
        <f t="shared" si="24"/>
        <v>134294.00632538836</v>
      </c>
      <c r="G29" s="90">
        <f t="shared" si="24"/>
        <v>134191.4572543258</v>
      </c>
      <c r="H29" s="90">
        <f t="shared" si="24"/>
        <v>119274.66635193005</v>
      </c>
      <c r="I29" s="90">
        <f t="shared" si="24"/>
        <v>0</v>
      </c>
      <c r="J29" s="90">
        <f t="shared" si="24"/>
        <v>0</v>
      </c>
      <c r="K29" s="90">
        <f t="shared" si="24"/>
        <v>0</v>
      </c>
      <c r="L29" s="90">
        <f t="shared" si="24"/>
        <v>0</v>
      </c>
      <c r="M29" s="90">
        <f t="shared" si="24"/>
        <v>0</v>
      </c>
      <c r="N29" s="90">
        <f t="shared" si="24"/>
        <v>0</v>
      </c>
      <c r="O29" s="90">
        <f t="shared" si="24"/>
        <v>0</v>
      </c>
      <c r="P29" s="90">
        <f t="shared" si="24"/>
        <v>0</v>
      </c>
      <c r="Q29" s="90"/>
      <c r="R29" s="90"/>
      <c r="S29" s="90"/>
      <c r="T29" s="90"/>
      <c r="U29" s="90"/>
      <c r="V29" s="90"/>
    </row>
    <row r="30" spans="1:22" s="91" customFormat="1" hidden="1" x14ac:dyDescent="0.25">
      <c r="A30" s="93"/>
      <c r="B30" s="114" t="e">
        <f t="shared" ref="B30:N30" si="25">B29/B6</f>
        <v>#DIV/0!</v>
      </c>
      <c r="C30" s="114">
        <f t="shared" si="25"/>
        <v>0.90417549520373486</v>
      </c>
      <c r="D30" s="114">
        <f t="shared" si="25"/>
        <v>0.90602679134642461</v>
      </c>
      <c r="E30" s="114">
        <f t="shared" si="25"/>
        <v>0.90549040817819193</v>
      </c>
      <c r="F30" s="114">
        <f t="shared" si="25"/>
        <v>0.90488161328224781</v>
      </c>
      <c r="G30" s="115">
        <f t="shared" si="25"/>
        <v>0.90419063107535136</v>
      </c>
      <c r="H30" s="114">
        <f t="shared" si="25"/>
        <v>0.80368033887326351</v>
      </c>
      <c r="I30" s="114">
        <f t="shared" si="25"/>
        <v>0</v>
      </c>
      <c r="J30" s="114">
        <f t="shared" si="25"/>
        <v>0</v>
      </c>
      <c r="K30" s="114">
        <f t="shared" si="25"/>
        <v>0</v>
      </c>
      <c r="L30" s="114">
        <f t="shared" si="25"/>
        <v>0</v>
      </c>
      <c r="M30" s="114">
        <f t="shared" si="25"/>
        <v>0</v>
      </c>
      <c r="N30" s="90">
        <f t="shared" si="25"/>
        <v>0</v>
      </c>
      <c r="O30" s="90"/>
      <c r="P30" s="90"/>
      <c r="Q30" s="90"/>
      <c r="R30" s="90"/>
      <c r="S30" s="90"/>
      <c r="T30" s="90"/>
      <c r="U30" s="90"/>
      <c r="V30" s="90"/>
    </row>
    <row r="31" spans="1:22" ht="22.5" x14ac:dyDescent="0.25">
      <c r="A31" s="208" t="s">
        <v>65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</row>
    <row r="32" spans="1:22" ht="30" x14ac:dyDescent="0.25">
      <c r="A32" s="93" t="s">
        <v>76</v>
      </c>
      <c r="B32" s="90">
        <f t="shared" ref="B32:V32" si="26">B28+$C$20/21</f>
        <v>1141.1872838078582</v>
      </c>
      <c r="C32" s="90">
        <f t="shared" si="26"/>
        <v>8110.9806819005198</v>
      </c>
      <c r="D32" s="90">
        <f t="shared" si="26"/>
        <v>11358.520078459296</v>
      </c>
      <c r="E32" s="90">
        <f t="shared" si="26"/>
        <v>10143.242609491945</v>
      </c>
      <c r="F32" s="90">
        <f t="shared" si="26"/>
        <v>9072.5135619436169</v>
      </c>
      <c r="G32" s="90">
        <f t="shared" si="26"/>
        <v>8129.1399517688806</v>
      </c>
      <c r="H32" s="90">
        <f t="shared" si="26"/>
        <v>14120.105534736205</v>
      </c>
      <c r="I32" s="90">
        <f t="shared" si="26"/>
        <v>61413.203843725758</v>
      </c>
      <c r="J32" s="90">
        <f t="shared" si="26"/>
        <v>54244.285574484427</v>
      </c>
      <c r="K32" s="90">
        <f t="shared" si="26"/>
        <v>47928.058024492057</v>
      </c>
      <c r="L32" s="90">
        <f t="shared" si="26"/>
        <v>42363.099830666179</v>
      </c>
      <c r="M32" s="90">
        <f t="shared" si="26"/>
        <v>37460.052963859234</v>
      </c>
      <c r="N32" s="90">
        <f t="shared" si="26"/>
        <v>33140.187882972066</v>
      </c>
      <c r="O32" s="90">
        <f t="shared" si="26"/>
        <v>29334.139353556064</v>
      </c>
      <c r="P32" s="90">
        <f t="shared" si="26"/>
        <v>25980.792631603636</v>
      </c>
      <c r="Q32" s="90">
        <f t="shared" si="26"/>
        <v>23026.302127680789</v>
      </c>
      <c r="R32" s="90">
        <f t="shared" si="26"/>
        <v>20423.226793828064</v>
      </c>
      <c r="S32" s="90">
        <f t="shared" si="26"/>
        <v>18129.768349904956</v>
      </c>
      <c r="T32" s="90">
        <f t="shared" si="26"/>
        <v>16109.100117373582</v>
      </c>
      <c r="U32" s="90">
        <f t="shared" si="26"/>
        <v>14328.775683425236</v>
      </c>
      <c r="V32" s="90">
        <f t="shared" si="26"/>
        <v>11623.525968921029</v>
      </c>
    </row>
    <row r="33" spans="1:22" ht="30" x14ac:dyDescent="0.25">
      <c r="A33" s="93" t="s">
        <v>77</v>
      </c>
      <c r="B33" s="90">
        <f t="shared" ref="B33:P33" si="27">IF(B5&gt;0,B6-B32/B7,0)</f>
        <v>-1158.0706025272073</v>
      </c>
      <c r="C33" s="90">
        <f t="shared" si="27"/>
        <v>79855.069671181613</v>
      </c>
      <c r="D33" s="90">
        <f t="shared" si="27"/>
        <v>133561.77357205938</v>
      </c>
      <c r="E33" s="90">
        <f t="shared" si="27"/>
        <v>133360.37307929739</v>
      </c>
      <c r="F33" s="90">
        <f t="shared" si="27"/>
        <v>133131.78352001254</v>
      </c>
      <c r="G33" s="90">
        <f t="shared" si="27"/>
        <v>132872.33437022424</v>
      </c>
      <c r="H33" s="90">
        <f t="shared" si="27"/>
        <v>117777.4618784748</v>
      </c>
      <c r="I33" s="90">
        <f t="shared" si="27"/>
        <v>0</v>
      </c>
      <c r="J33" s="90">
        <f t="shared" si="27"/>
        <v>0</v>
      </c>
      <c r="K33" s="90">
        <f t="shared" si="27"/>
        <v>0</v>
      </c>
      <c r="L33" s="90">
        <f t="shared" si="27"/>
        <v>0</v>
      </c>
      <c r="M33" s="90">
        <f t="shared" si="27"/>
        <v>0</v>
      </c>
      <c r="N33" s="90">
        <f t="shared" si="27"/>
        <v>0</v>
      </c>
      <c r="O33" s="90">
        <f t="shared" si="27"/>
        <v>0</v>
      </c>
      <c r="P33" s="90">
        <f t="shared" si="27"/>
        <v>0</v>
      </c>
      <c r="Q33" s="90"/>
      <c r="R33" s="90"/>
      <c r="S33" s="90"/>
      <c r="T33" s="90"/>
      <c r="U33" s="90"/>
      <c r="V33" s="90"/>
    </row>
    <row r="34" spans="1:22" hidden="1" x14ac:dyDescent="0.25">
      <c r="A34" s="93"/>
      <c r="B34" s="114" t="e">
        <f t="shared" ref="B34:N34" si="28">B33/B6</f>
        <v>#DIV/0!</v>
      </c>
      <c r="C34" s="114">
        <f t="shared" si="28"/>
        <v>0.89526400286544883</v>
      </c>
      <c r="D34" s="114">
        <f t="shared" si="28"/>
        <v>0.89994778210645421</v>
      </c>
      <c r="E34" s="114">
        <f t="shared" si="28"/>
        <v>0.89859073269082546</v>
      </c>
      <c r="F34" s="114">
        <f t="shared" si="28"/>
        <v>0.89705048160408696</v>
      </c>
      <c r="G34" s="114">
        <f t="shared" si="28"/>
        <v>0.89530229662063876</v>
      </c>
      <c r="H34" s="114">
        <f t="shared" si="28"/>
        <v>0.7935920792671648</v>
      </c>
      <c r="I34" s="114">
        <f t="shared" si="28"/>
        <v>0</v>
      </c>
      <c r="J34" s="114">
        <f t="shared" si="28"/>
        <v>0</v>
      </c>
      <c r="K34" s="114">
        <f t="shared" si="28"/>
        <v>0</v>
      </c>
      <c r="L34" s="114">
        <f t="shared" si="28"/>
        <v>0</v>
      </c>
      <c r="M34" s="114">
        <f t="shared" si="28"/>
        <v>0</v>
      </c>
      <c r="N34" s="114">
        <f t="shared" si="28"/>
        <v>0</v>
      </c>
      <c r="O34" s="90"/>
      <c r="P34" s="90"/>
      <c r="Q34" s="90"/>
      <c r="R34" s="90"/>
      <c r="S34" s="90"/>
      <c r="T34" s="90"/>
      <c r="U34" s="90"/>
      <c r="V34" s="90"/>
    </row>
    <row r="35" spans="1:22" ht="22.5" x14ac:dyDescent="0.25">
      <c r="A35" s="208" t="s">
        <v>66</v>
      </c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</row>
    <row r="36" spans="1:22" ht="30" x14ac:dyDescent="0.25">
      <c r="A36" s="93" t="s">
        <v>76</v>
      </c>
      <c r="B36" s="90">
        <f>B32+$D$20/21</f>
        <v>1141.1872838078582</v>
      </c>
      <c r="C36" s="90">
        <f t="shared" ref="C36:V36" si="29">C32+$D$20/21</f>
        <v>8110.9806819005198</v>
      </c>
      <c r="D36" s="90">
        <f t="shared" si="29"/>
        <v>11358.520078459296</v>
      </c>
      <c r="E36" s="90">
        <f t="shared" si="29"/>
        <v>10143.242609491945</v>
      </c>
      <c r="F36" s="90">
        <f t="shared" si="29"/>
        <v>9072.5135619436169</v>
      </c>
      <c r="G36" s="90">
        <f t="shared" si="29"/>
        <v>8129.1399517688806</v>
      </c>
      <c r="H36" s="90">
        <f t="shared" si="29"/>
        <v>14120.105534736205</v>
      </c>
      <c r="I36" s="90">
        <f t="shared" si="29"/>
        <v>61413.203843725758</v>
      </c>
      <c r="J36" s="90">
        <f t="shared" si="29"/>
        <v>54244.285574484427</v>
      </c>
      <c r="K36" s="90">
        <f t="shared" si="29"/>
        <v>47928.058024492057</v>
      </c>
      <c r="L36" s="90">
        <f t="shared" si="29"/>
        <v>42363.099830666179</v>
      </c>
      <c r="M36" s="90">
        <f t="shared" si="29"/>
        <v>37460.052963859234</v>
      </c>
      <c r="N36" s="90">
        <f t="shared" si="29"/>
        <v>33140.187882972066</v>
      </c>
      <c r="O36" s="90">
        <f t="shared" si="29"/>
        <v>29334.139353556064</v>
      </c>
      <c r="P36" s="90">
        <f t="shared" si="29"/>
        <v>25980.792631603636</v>
      </c>
      <c r="Q36" s="90">
        <f t="shared" si="29"/>
        <v>23026.302127680789</v>
      </c>
      <c r="R36" s="90">
        <f t="shared" si="29"/>
        <v>20423.226793828064</v>
      </c>
      <c r="S36" s="90">
        <f t="shared" si="29"/>
        <v>18129.768349904956</v>
      </c>
      <c r="T36" s="90">
        <f t="shared" si="29"/>
        <v>16109.100117373582</v>
      </c>
      <c r="U36" s="90">
        <f t="shared" si="29"/>
        <v>14328.775683425236</v>
      </c>
      <c r="V36" s="90">
        <f t="shared" si="29"/>
        <v>11623.525968921029</v>
      </c>
    </row>
    <row r="37" spans="1:22" ht="30" x14ac:dyDescent="0.25">
      <c r="A37" s="93" t="s">
        <v>77</v>
      </c>
      <c r="B37" s="90">
        <f t="shared" ref="B37:P37" si="30">IF(B5&gt;0,B6-B36/B7,0)</f>
        <v>-1158.0706025272073</v>
      </c>
      <c r="C37" s="90">
        <f t="shared" si="30"/>
        <v>79855.069671181613</v>
      </c>
      <c r="D37" s="90">
        <f t="shared" si="30"/>
        <v>133561.77357205938</v>
      </c>
      <c r="E37" s="90">
        <f t="shared" si="30"/>
        <v>133360.37307929739</v>
      </c>
      <c r="F37" s="90">
        <f t="shared" si="30"/>
        <v>133131.78352001254</v>
      </c>
      <c r="G37" s="90">
        <f t="shared" si="30"/>
        <v>132872.33437022424</v>
      </c>
      <c r="H37" s="90">
        <f t="shared" si="30"/>
        <v>117777.4618784748</v>
      </c>
      <c r="I37" s="90">
        <f t="shared" si="30"/>
        <v>0</v>
      </c>
      <c r="J37" s="90">
        <f t="shared" si="30"/>
        <v>0</v>
      </c>
      <c r="K37" s="90">
        <f t="shared" si="30"/>
        <v>0</v>
      </c>
      <c r="L37" s="90">
        <f t="shared" si="30"/>
        <v>0</v>
      </c>
      <c r="M37" s="90">
        <f t="shared" si="30"/>
        <v>0</v>
      </c>
      <c r="N37" s="90">
        <f t="shared" si="30"/>
        <v>0</v>
      </c>
      <c r="O37" s="90">
        <f t="shared" si="30"/>
        <v>0</v>
      </c>
      <c r="P37" s="90">
        <f t="shared" si="30"/>
        <v>0</v>
      </c>
      <c r="Q37" s="90"/>
      <c r="R37" s="90"/>
      <c r="S37" s="90"/>
      <c r="T37" s="90"/>
      <c r="U37" s="90"/>
      <c r="V37" s="90"/>
    </row>
    <row r="38" spans="1:22" hidden="1" x14ac:dyDescent="0.25">
      <c r="B38" s="89" t="e">
        <f t="shared" ref="B38:N38" si="31">B37/B6</f>
        <v>#DIV/0!</v>
      </c>
      <c r="C38" s="89">
        <f t="shared" si="31"/>
        <v>0.89526400286544883</v>
      </c>
      <c r="D38" s="89">
        <f t="shared" si="31"/>
        <v>0.89994778210645421</v>
      </c>
      <c r="E38" s="89">
        <f t="shared" si="31"/>
        <v>0.89859073269082546</v>
      </c>
      <c r="F38" s="89">
        <f t="shared" si="31"/>
        <v>0.89705048160408696</v>
      </c>
      <c r="G38" s="89">
        <f t="shared" si="31"/>
        <v>0.89530229662063876</v>
      </c>
      <c r="H38" s="89">
        <f t="shared" si="31"/>
        <v>0.7935920792671648</v>
      </c>
      <c r="I38" s="89">
        <f t="shared" si="31"/>
        <v>0</v>
      </c>
      <c r="J38" s="89">
        <f t="shared" si="31"/>
        <v>0</v>
      </c>
      <c r="K38" s="89">
        <f t="shared" si="31"/>
        <v>0</v>
      </c>
      <c r="L38" s="89">
        <f t="shared" si="31"/>
        <v>0</v>
      </c>
      <c r="M38" s="89">
        <f t="shared" si="31"/>
        <v>0</v>
      </c>
      <c r="N38" s="89">
        <f t="shared" si="31"/>
        <v>0</v>
      </c>
    </row>
    <row r="990" ht="15" customHeight="1" x14ac:dyDescent="0.25"/>
  </sheetData>
  <mergeCells count="4">
    <mergeCell ref="A1:V1"/>
    <mergeCell ref="A27:V27"/>
    <mergeCell ref="A31:V31"/>
    <mergeCell ref="A35:V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Оголошення закупівлі</vt:lpstr>
      <vt:lpstr>Скорочення споживання ПЕР</vt:lpstr>
      <vt:lpstr>Тендерна пропозиція</vt:lpstr>
      <vt:lpstr>Скорочення витрат замовника</vt:lpstr>
      <vt:lpstr>Лист1</vt:lpstr>
      <vt:lpstr>Аукціон</vt:lpstr>
      <vt:lpstr>Sheet3</vt:lpstr>
      <vt:lpstr>Аукціон розширений</vt:lpstr>
      <vt:lpstr>contractDurationDays</vt:lpstr>
      <vt:lpstr>contractDurationYears</vt:lpstr>
      <vt:lpstr>maximalYearlyPaymentsPercentage</vt:lpstr>
      <vt:lpstr>NBUdiscountRate</vt:lpstr>
      <vt:lpstr>startDate</vt:lpstr>
      <vt:lpstr>yearlyPaymentsPercentage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Y. Tomyak</dc:creator>
  <cp:lastModifiedBy>Hp</cp:lastModifiedBy>
  <cp:lastPrinted>2017-11-07T07:59:17Z</cp:lastPrinted>
  <dcterms:created xsi:type="dcterms:W3CDTF">2017-11-07T10:44:50Z</dcterms:created>
  <dcterms:modified xsi:type="dcterms:W3CDTF">2018-03-03T11:44:44Z</dcterms:modified>
</cp:coreProperties>
</file>